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harts/chart2.xml" ContentType="application/vnd.openxmlformats-officedocument.drawingml.char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Anlagen Spezifikation" sheetId="1" r:id="rId4"/>
    <sheet name="Reperaturmodell" sheetId="2" r:id="rId5"/>
    <sheet name="Kennwerte" sheetId="3" r:id="rId6"/>
    <sheet name="Cashflow" sheetId="4" r:id="rId7"/>
    <sheet name="Barwerte" sheetId="5" r:id="rId8"/>
    <sheet name="Kapitalwertmethode" sheetId="6" r:id="rId9"/>
    <sheet name="Dynamische Amortisation" sheetId="7" r:id="rId10"/>
    <sheet name="Zinsfussmethode" sheetId="8" r:id="rId11"/>
    <sheet name="Annuitätsmethode" sheetId="9" r:id="rId12"/>
    <sheet name="Hilftstabelle - Barwert" sheetId="10" r:id="rId13"/>
  </sheets>
</workbook>
</file>

<file path=xl/sharedStrings.xml><?xml version="1.0" encoding="utf-8"?>
<sst xmlns="http://schemas.openxmlformats.org/spreadsheetml/2006/main" uniqueCount="102">
  <si>
    <t>Spezifikation der PV-Anlagen - Grobe Wirtschaftlichkeitsrechnung</t>
  </si>
  <si>
    <t>9,75kWp</t>
  </si>
  <si>
    <t>12,76kWp</t>
  </si>
  <si>
    <t>Anlagen-parameter</t>
  </si>
  <si>
    <t>Anlagenleistung (kWp)</t>
  </si>
  <si>
    <t>Speichergröße (in kWh)</t>
  </si>
  <si>
    <t>Spezifischer Ertrag (kWh/kWp)</t>
  </si>
  <si>
    <t>Ertragsminderung (Verschattung, Dachausrichtung,…)</t>
  </si>
  <si>
    <t>Energie-parameter</t>
  </si>
  <si>
    <t>Verbrauch (kWh/a)</t>
  </si>
  <si>
    <t>Autarkiegrad inkl. Speicher (in %)</t>
  </si>
  <si>
    <t>Eigenverbrauchsquote (in %)</t>
  </si>
  <si>
    <t>Netzeinspeisung (in %)</t>
  </si>
  <si>
    <t>Wirtschafts-daten</t>
  </si>
  <si>
    <t>Anlagenkosten (in €)</t>
  </si>
  <si>
    <t>Fixkosten (Gerüst, Zähleranlage, …) (in €)</t>
  </si>
  <si>
    <t>Förderung (in €)</t>
  </si>
  <si>
    <t>Invest (in €)</t>
  </si>
  <si>
    <t>Betriebskosten Abschätzung (in €/kWp)</t>
  </si>
  <si>
    <t>Instandhaltungskosten (in % des Invest)</t>
  </si>
  <si>
    <t>Stromkosten Arbeitspreise (in €/kWh)</t>
  </si>
  <si>
    <t>Stromkosten Grundpreis (in €/a)</t>
  </si>
  <si>
    <t>Einspeisevergütung (in €/kWh)</t>
  </si>
  <si>
    <t>Preisänderung (in %)</t>
  </si>
  <si>
    <t>Diskontierungssatz (in %)</t>
  </si>
  <si>
    <t>Kapitalverzinsung (extern)</t>
  </si>
  <si>
    <t>Betrachtungszeitraum in Jahren</t>
  </si>
  <si>
    <t>Energiefluss</t>
  </si>
  <si>
    <t>Jährlicher Ertrag (kWh/a)</t>
  </si>
  <si>
    <t>Direktverbrauch (kWh/a)</t>
  </si>
  <si>
    <t>Einspeisung (kWh/a)</t>
  </si>
  <si>
    <t>Zukauf (kWh/a)</t>
  </si>
  <si>
    <t>Kosten und Einnahmen</t>
  </si>
  <si>
    <t>Instandhaltungskosten (in €/a)</t>
  </si>
  <si>
    <t>Betriebskosten (in €/a)</t>
  </si>
  <si>
    <t>Einspeisevergütung (in €/a)</t>
  </si>
  <si>
    <t>Einsparung im 1. Jahr (in €/a)</t>
  </si>
  <si>
    <t>Überschuss</t>
  </si>
  <si>
    <t>Einnahmen im 1. Jahr (in €/a)</t>
  </si>
  <si>
    <t>Ausgaben im 1. Jahr (in €/a)</t>
  </si>
  <si>
    <t>Überschuss im 1. Jahr (in €/a)</t>
  </si>
  <si>
    <t>Abschätzung der Amortisation in Jahren</t>
  </si>
  <si>
    <t>Reperaturmodell</t>
  </si>
  <si>
    <t>Jahr</t>
  </si>
  <si>
    <t>Kennwerte</t>
  </si>
  <si>
    <t>Kennwert</t>
  </si>
  <si>
    <t>Barwert (NPV) 20 Jahren (in €)</t>
  </si>
  <si>
    <t>Kapitalwert</t>
  </si>
  <si>
    <t>Amortisation (in Jahren)</t>
  </si>
  <si>
    <t>Annuität - RMZ()</t>
  </si>
  <si>
    <t>Interner Zinsfuß</t>
  </si>
  <si>
    <t>Netto Cashflow</t>
  </si>
  <si>
    <t>Summe Cashflow</t>
  </si>
  <si>
    <t>Invest</t>
  </si>
  <si>
    <t>Invest - Cashflow</t>
  </si>
  <si>
    <t>Cashflow Instandhaltungs-kosten</t>
  </si>
  <si>
    <t>Cashflow
Betriebskosten</t>
  </si>
  <si>
    <t>Cashflow Einspeisevergütung</t>
  </si>
  <si>
    <t>Cashflow Einsparung</t>
  </si>
  <si>
    <t>Cashflow Reperatur</t>
  </si>
  <si>
    <t>NPV (Net Present Value), Netto Cashflow</t>
  </si>
  <si>
    <t>Preisänderung</t>
  </si>
  <si>
    <t>Diskontierung</t>
  </si>
  <si>
    <t>Preisänderungsatz</t>
  </si>
  <si>
    <t>Diskontierungssatz</t>
  </si>
  <si>
    <t>Barwert</t>
  </si>
  <si>
    <t>Barwert Instandhaltungs-kosten mit Inflation und Diskontierung</t>
  </si>
  <si>
    <t>Barwert
Betriebskosten mit Inflation und Diskontierung</t>
  </si>
  <si>
    <t>Barwert Einspeisevergütung mit Diskontierung</t>
  </si>
  <si>
    <t>Barwert Einsparung mit Diskontierung und Inflation</t>
  </si>
  <si>
    <t>Barwert Reparatur mit Diskontierung und Inflation</t>
  </si>
  <si>
    <t>Kapitalwertmethode</t>
  </si>
  <si>
    <t>Netto Cashflow (NPV) 20 Jahren (in €)</t>
  </si>
  <si>
    <t>Barwerte</t>
  </si>
  <si>
    <t>Dynamische Amortisation</t>
  </si>
  <si>
    <t>Kapitalwert nach Jahren (NPV)</t>
  </si>
  <si>
    <t>Hilfstabelle für die Berechnung der Amortisation (0: Negativer NPV, 1: Positiver NPV)</t>
  </si>
  <si>
    <t>Zinsfussmethode</t>
  </si>
  <si>
    <r>
      <rPr>
        <b val="1"/>
        <sz val="10"/>
        <color indexed="8"/>
        <rFont val="Helvetica Neue"/>
      </rPr>
      <t>9,75kWp</t>
    </r>
  </si>
  <si>
    <r>
      <rPr>
        <b val="1"/>
        <sz val="10"/>
        <color indexed="8"/>
        <rFont val="Helvetica Neue"/>
      </rPr>
      <t>12,76kWp</t>
    </r>
  </si>
  <si>
    <t>Berechnung Baldwin 9,75kWp</t>
  </si>
  <si>
    <t>Berechnung Baldwin 12,76kWp</t>
  </si>
  <si>
    <t>Kapitalwert nach 20 Jahren (in €)</t>
  </si>
  <si>
    <t>IRR (Zinsfuss)</t>
  </si>
  <si>
    <t>Endwert</t>
  </si>
  <si>
    <t>Baldwin Zinssatz</t>
  </si>
  <si>
    <t>Kapitalwerte</t>
  </si>
  <si>
    <t>Tabelle 1</t>
  </si>
  <si>
    <t>Kalkulatoriescher Zins</t>
  </si>
  <si>
    <t>Baldwin 9,75</t>
  </si>
  <si>
    <t>IRR 9,75</t>
  </si>
  <si>
    <t>Baldwin 12,8</t>
  </si>
  <si>
    <t>IRR 12,8</t>
  </si>
  <si>
    <t>Kapitalwert -0,1%</t>
  </si>
  <si>
    <t>Kapitalwert +0,1%</t>
  </si>
  <si>
    <t>Resultierender Zins q-r</t>
  </si>
  <si>
    <t>Resultierender Zinsfaktor (q-r)</t>
  </si>
  <si>
    <t>Check Annuität</t>
  </si>
  <si>
    <t>Hilftstabelle - Barwert</t>
  </si>
  <si>
    <t>Ausgaben</t>
  </si>
  <si>
    <t>Einnahmen</t>
  </si>
  <si>
    <t>Zahlungen</t>
  </si>
</sst>
</file>

<file path=xl/styles.xml><?xml version="1.0" encoding="utf-8"?>
<styleSheet xmlns="http://schemas.openxmlformats.org/spreadsheetml/2006/main">
  <numFmts count="7">
    <numFmt numFmtId="0" formatCode="General"/>
    <numFmt numFmtId="59" formatCode="#,##0.0"/>
    <numFmt numFmtId="60" formatCode="#,##0%"/>
    <numFmt numFmtId="61" formatCode="#,##0.0%"/>
    <numFmt numFmtId="62" formatCode="#,##0.0000"/>
    <numFmt numFmtId="63" formatCode="0.0%"/>
    <numFmt numFmtId="64" formatCode="#,##0.00%"/>
  </numFmts>
  <fonts count="8">
    <font>
      <sz val="10"/>
      <color indexed="8"/>
      <name val="Helvetica Neue"/>
    </font>
    <font>
      <sz val="12"/>
      <color indexed="8"/>
      <name val="Helvetica Neue"/>
    </font>
    <font>
      <b val="1"/>
      <sz val="10"/>
      <color indexed="8"/>
      <name val="Helvetica Neue"/>
    </font>
    <font>
      <sz val="12"/>
      <color indexed="15"/>
      <name val="Helvetica Neue"/>
    </font>
    <font>
      <sz val="16"/>
      <color indexed="8"/>
      <name val="Helvetica Neue"/>
    </font>
    <font>
      <b val="1"/>
      <sz val="24"/>
      <color indexed="8"/>
      <name val="Helvetica Neue"/>
    </font>
    <font>
      <b val="1"/>
      <sz val="16"/>
      <color indexed="8"/>
      <name val="Helvetica"/>
    </font>
    <font>
      <sz val="16"/>
      <color indexed="8"/>
      <name val="Helvetica"/>
    </font>
  </fonts>
  <fills count="9">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indexed="13"/>
        <bgColor auto="1"/>
      </patternFill>
    </fill>
    <fill>
      <patternFill patternType="solid">
        <fgColor indexed="14"/>
        <bgColor auto="1"/>
      </patternFill>
    </fill>
    <fill>
      <patternFill patternType="solid">
        <fgColor indexed="15"/>
        <bgColor auto="1"/>
      </patternFill>
    </fill>
    <fill>
      <patternFill patternType="solid">
        <fgColor indexed="21"/>
        <bgColor auto="1"/>
      </patternFill>
    </fill>
    <fill>
      <patternFill patternType="solid">
        <fgColor indexed="22"/>
        <bgColor auto="1"/>
      </patternFill>
    </fill>
  </fills>
  <borders count="20">
    <border>
      <left/>
      <right/>
      <top/>
      <bottom/>
      <diagonal/>
    </border>
    <border>
      <left style="thin">
        <color indexed="10"/>
      </left>
      <right style="thin">
        <color indexed="10"/>
      </right>
      <top style="thin">
        <color indexed="10"/>
      </top>
      <bottom style="thin">
        <color indexed="11"/>
      </bottom>
      <diagonal/>
    </border>
    <border>
      <left style="thin">
        <color indexed="10"/>
      </left>
      <right style="thin">
        <color indexed="10"/>
      </right>
      <top style="thin">
        <color indexed="11"/>
      </top>
      <bottom style="thin">
        <color indexed="10"/>
      </bottom>
      <diagonal/>
    </border>
    <border>
      <left style="thin">
        <color indexed="10"/>
      </left>
      <right style="thin">
        <color indexed="11"/>
      </right>
      <top style="thin">
        <color indexed="11"/>
      </top>
      <bottom style="thin">
        <color indexed="10"/>
      </bottom>
      <diagonal/>
    </border>
    <border>
      <left style="thin">
        <color indexed="11"/>
      </left>
      <right style="thin">
        <color indexed="10"/>
      </right>
      <top style="thin">
        <color indexed="11"/>
      </top>
      <bottom style="thin">
        <color indexed="10"/>
      </bottom>
      <diagonal/>
    </border>
    <border>
      <left style="thin">
        <color indexed="10"/>
      </left>
      <right style="thin">
        <color indexed="10"/>
      </right>
      <top style="thin">
        <color indexed="10"/>
      </top>
      <bottom style="thin">
        <color indexed="10"/>
      </bottom>
      <diagonal/>
    </border>
    <border>
      <left style="thin">
        <color indexed="10"/>
      </left>
      <right style="thin">
        <color indexed="11"/>
      </right>
      <top style="thin">
        <color indexed="10"/>
      </top>
      <bottom style="thin">
        <color indexed="10"/>
      </bottom>
      <diagonal/>
    </border>
    <border>
      <left style="thin">
        <color indexed="11"/>
      </left>
      <right style="thin">
        <color indexed="10"/>
      </right>
      <top style="thin">
        <color indexed="10"/>
      </top>
      <bottom style="thin">
        <color indexed="10"/>
      </bottom>
      <diagonal/>
    </border>
    <border>
      <left style="thin">
        <color indexed="10"/>
      </left>
      <right style="thin">
        <color indexed="10"/>
      </right>
      <top style="thin">
        <color indexed="10"/>
      </top>
      <bottom style="thin">
        <color indexed="8"/>
      </bottom>
      <diagonal/>
    </border>
    <border>
      <left style="thin">
        <color indexed="10"/>
      </left>
      <right style="thin">
        <color indexed="11"/>
      </right>
      <top style="thin">
        <color indexed="10"/>
      </top>
      <bottom style="thin">
        <color indexed="8"/>
      </bottom>
      <diagonal/>
    </border>
    <border>
      <left style="thin">
        <color indexed="11"/>
      </left>
      <right style="thin">
        <color indexed="10"/>
      </right>
      <top style="thin">
        <color indexed="10"/>
      </top>
      <bottom style="thin">
        <color indexed="8"/>
      </bottom>
      <diagonal/>
    </border>
    <border>
      <left style="thin">
        <color indexed="10"/>
      </left>
      <right style="thin">
        <color indexed="10"/>
      </right>
      <top style="thin">
        <color indexed="8"/>
      </top>
      <bottom style="thin">
        <color indexed="10"/>
      </bottom>
      <diagonal/>
    </border>
    <border>
      <left style="thin">
        <color indexed="10"/>
      </left>
      <right style="thin">
        <color indexed="11"/>
      </right>
      <top style="thin">
        <color indexed="8"/>
      </top>
      <bottom style="thin">
        <color indexed="10"/>
      </bottom>
      <diagonal/>
    </border>
    <border>
      <left style="thin">
        <color indexed="11"/>
      </left>
      <right style="thin">
        <color indexed="10"/>
      </right>
      <top style="thin">
        <color indexed="8"/>
      </top>
      <bottom style="thin">
        <color indexed="10"/>
      </bottom>
      <diagonal/>
    </border>
    <border>
      <left style="thin">
        <color indexed="11"/>
      </left>
      <right style="thin">
        <color indexed="10"/>
      </right>
      <top style="thin">
        <color indexed="10"/>
      </top>
      <bottom style="medium">
        <color indexed="8"/>
      </bottom>
      <diagonal/>
    </border>
    <border>
      <left style="thin">
        <color indexed="10"/>
      </left>
      <right style="thin">
        <color indexed="10"/>
      </right>
      <top style="thin">
        <color indexed="10"/>
      </top>
      <bottom style="medium">
        <color indexed="8"/>
      </bottom>
      <diagonal/>
    </border>
    <border>
      <left style="thin">
        <color indexed="11"/>
      </left>
      <right style="thin">
        <color indexed="10"/>
      </right>
      <top style="medium">
        <color indexed="8"/>
      </top>
      <bottom style="thin">
        <color indexed="10"/>
      </bottom>
      <diagonal/>
    </border>
    <border>
      <left style="thin">
        <color indexed="10"/>
      </left>
      <right style="thin">
        <color indexed="10"/>
      </right>
      <top style="medium">
        <color indexed="8"/>
      </top>
      <bottom style="thin">
        <color indexed="10"/>
      </bottom>
      <diagonal/>
    </border>
    <border>
      <left style="thin">
        <color indexed="11"/>
      </left>
      <right style="thin">
        <color indexed="11"/>
      </right>
      <top style="thin">
        <color indexed="11"/>
      </top>
      <bottom style="thin">
        <color indexed="10"/>
      </bottom>
      <diagonal/>
    </border>
    <border>
      <left style="thin">
        <color indexed="11"/>
      </left>
      <right style="thin">
        <color indexed="11"/>
      </right>
      <top style="thin">
        <color indexed="10"/>
      </top>
      <bottom style="thin">
        <color indexed="10"/>
      </bottom>
      <diagonal/>
    </border>
  </borders>
  <cellStyleXfs count="1">
    <xf numFmtId="0" fontId="0" applyNumberFormat="0" applyFont="1" applyFill="0" applyBorder="0" applyAlignment="1" applyProtection="0">
      <alignment vertical="top" wrapText="1"/>
    </xf>
  </cellStyleXfs>
  <cellXfs count="111">
    <xf numFmtId="0" fontId="0" applyNumberFormat="0" applyFont="1" applyFill="0" applyBorder="0" applyAlignment="1" applyProtection="0">
      <alignment vertical="top" wrapText="1"/>
    </xf>
    <xf numFmtId="0" fontId="0" applyNumberFormat="1" applyFont="1" applyFill="0" applyBorder="0" applyAlignment="1" applyProtection="0">
      <alignment vertical="top" wrapText="1"/>
    </xf>
    <xf numFmtId="0" fontId="1" applyNumberFormat="0" applyFont="1" applyFill="0" applyBorder="0" applyAlignment="1" applyProtection="0">
      <alignment horizontal="center" vertical="center"/>
    </xf>
    <xf numFmtId="0" fontId="2" fillId="2" borderId="1" applyNumberFormat="0" applyFont="1" applyFill="1" applyBorder="1" applyAlignment="1" applyProtection="0">
      <alignment vertical="top" wrapText="1"/>
    </xf>
    <xf numFmtId="49" fontId="2" fillId="3" borderId="1" applyNumberFormat="1" applyFont="1" applyFill="1" applyBorder="1" applyAlignment="1" applyProtection="0">
      <alignment horizontal="right" vertical="top" wrapText="1"/>
    </xf>
    <xf numFmtId="49" fontId="2" fillId="4" borderId="2" applyNumberFormat="1" applyFont="1" applyFill="1" applyBorder="1" applyAlignment="1" applyProtection="0">
      <alignment vertical="top" wrapText="1"/>
    </xf>
    <xf numFmtId="49" fontId="2" fillId="4" borderId="3" applyNumberFormat="1" applyFont="1" applyFill="1" applyBorder="1" applyAlignment="1" applyProtection="0">
      <alignment vertical="top" wrapText="1"/>
    </xf>
    <xf numFmtId="4" fontId="0" fillId="5" borderId="4" applyNumberFormat="1" applyFont="1" applyFill="1" applyBorder="1" applyAlignment="1" applyProtection="0">
      <alignment vertical="top" wrapText="1"/>
    </xf>
    <xf numFmtId="4" fontId="0" fillId="5" borderId="2" applyNumberFormat="1" applyFont="1" applyFill="1" applyBorder="1" applyAlignment="1" applyProtection="0">
      <alignment vertical="top" wrapText="1"/>
    </xf>
    <xf numFmtId="0" fontId="2" fillId="4" borderId="5" applyNumberFormat="0" applyFont="1" applyFill="1" applyBorder="1" applyAlignment="1" applyProtection="0">
      <alignment vertical="top" wrapText="1"/>
    </xf>
    <xf numFmtId="49" fontId="2" fillId="4" borderId="6" applyNumberFormat="1" applyFont="1" applyFill="1" applyBorder="1" applyAlignment="1" applyProtection="0">
      <alignment vertical="top" wrapText="1"/>
    </xf>
    <xf numFmtId="59" fontId="0" fillId="5" borderId="7" applyNumberFormat="1" applyFont="1" applyFill="1" applyBorder="1" applyAlignment="1" applyProtection="0">
      <alignment vertical="top" wrapText="1"/>
    </xf>
    <xf numFmtId="59" fontId="0" fillId="5" borderId="5" applyNumberFormat="1" applyFont="1" applyFill="1" applyBorder="1" applyAlignment="1" applyProtection="0">
      <alignment vertical="top" wrapText="1"/>
    </xf>
    <xf numFmtId="3" fontId="0" fillId="5" borderId="7" applyNumberFormat="1" applyFont="1" applyFill="1" applyBorder="1" applyAlignment="1" applyProtection="0">
      <alignment vertical="top" wrapText="1"/>
    </xf>
    <xf numFmtId="3" fontId="0" fillId="5" borderId="5" applyNumberFormat="1" applyFont="1" applyFill="1" applyBorder="1" applyAlignment="1" applyProtection="0">
      <alignment vertical="top" wrapText="1"/>
    </xf>
    <xf numFmtId="0" fontId="2" fillId="4" borderId="8" applyNumberFormat="0" applyFont="1" applyFill="1" applyBorder="1" applyAlignment="1" applyProtection="0">
      <alignment vertical="top" wrapText="1"/>
    </xf>
    <xf numFmtId="49" fontId="2" fillId="4" borderId="9" applyNumberFormat="1" applyFont="1" applyFill="1" applyBorder="1" applyAlignment="1" applyProtection="0">
      <alignment vertical="top" wrapText="1"/>
    </xf>
    <xf numFmtId="60" fontId="0" fillId="5" borderId="10" applyNumberFormat="1" applyFont="1" applyFill="1" applyBorder="1" applyAlignment="1" applyProtection="0">
      <alignment vertical="top" wrapText="1"/>
    </xf>
    <xf numFmtId="60" fontId="0" fillId="5" borderId="8" applyNumberFormat="1" applyFont="1" applyFill="1" applyBorder="1" applyAlignment="1" applyProtection="0">
      <alignment vertical="top" wrapText="1"/>
    </xf>
    <xf numFmtId="49" fontId="2" fillId="4" borderId="11" applyNumberFormat="1" applyFont="1" applyFill="1" applyBorder="1" applyAlignment="1" applyProtection="0">
      <alignment vertical="top" wrapText="1"/>
    </xf>
    <xf numFmtId="49" fontId="2" fillId="4" borderId="12" applyNumberFormat="1" applyFont="1" applyFill="1" applyBorder="1" applyAlignment="1" applyProtection="0">
      <alignment vertical="top" wrapText="1"/>
    </xf>
    <xf numFmtId="3" fontId="0" fillId="5" borderId="13" applyNumberFormat="1" applyFont="1" applyFill="1" applyBorder="1" applyAlignment="1" applyProtection="0">
      <alignment vertical="top" wrapText="1"/>
    </xf>
    <xf numFmtId="3" fontId="0" fillId="5" borderId="11" applyNumberFormat="1" applyFont="1" applyFill="1" applyBorder="1" applyAlignment="1" applyProtection="0">
      <alignment vertical="top" wrapText="1"/>
    </xf>
    <xf numFmtId="60" fontId="0" fillId="5" borderId="7" applyNumberFormat="1" applyFont="1" applyFill="1" applyBorder="1" applyAlignment="1" applyProtection="0">
      <alignment vertical="top" wrapText="1"/>
    </xf>
    <xf numFmtId="60" fontId="0" fillId="5" borderId="5" applyNumberFormat="1" applyFont="1" applyFill="1" applyBorder="1" applyAlignment="1" applyProtection="0">
      <alignment vertical="top" wrapText="1"/>
    </xf>
    <xf numFmtId="60" fontId="0" fillId="6" borderId="10" applyNumberFormat="1" applyFont="1" applyFill="1" applyBorder="1" applyAlignment="1" applyProtection="0">
      <alignment vertical="top" wrapText="1"/>
    </xf>
    <xf numFmtId="60" fontId="0" fillId="6" borderId="8" applyNumberFormat="1" applyFont="1" applyFill="1" applyBorder="1" applyAlignment="1" applyProtection="0">
      <alignment vertical="top" wrapText="1"/>
    </xf>
    <xf numFmtId="3" fontId="0" fillId="5" borderId="14" applyNumberFormat="1" applyFont="1" applyFill="1" applyBorder="1" applyAlignment="1" applyProtection="0">
      <alignment vertical="top" wrapText="1"/>
    </xf>
    <xf numFmtId="3" fontId="0" fillId="5" borderId="15" applyNumberFormat="1" applyFont="1" applyFill="1" applyBorder="1" applyAlignment="1" applyProtection="0">
      <alignment vertical="top" wrapText="1"/>
    </xf>
    <xf numFmtId="3" fontId="2" borderId="16" applyNumberFormat="1" applyFont="1" applyFill="0" applyBorder="1" applyAlignment="1" applyProtection="0">
      <alignment vertical="top" wrapText="1"/>
    </xf>
    <xf numFmtId="3" fontId="2" borderId="17" applyNumberFormat="1" applyFont="1" applyFill="0" applyBorder="1" applyAlignment="1" applyProtection="0">
      <alignment vertical="top" wrapText="1"/>
    </xf>
    <xf numFmtId="4" fontId="0" fillId="5" borderId="7" applyNumberFormat="1" applyFont="1" applyFill="1" applyBorder="1" applyAlignment="1" applyProtection="0">
      <alignment vertical="top" wrapText="1"/>
    </xf>
    <xf numFmtId="4" fontId="0" fillId="5" borderId="5" applyNumberFormat="1" applyFont="1" applyFill="1" applyBorder="1" applyAlignment="1" applyProtection="0">
      <alignment vertical="top" wrapText="1"/>
    </xf>
    <xf numFmtId="61" fontId="0" fillId="5" borderId="7" applyNumberFormat="1" applyFont="1" applyFill="1" applyBorder="1" applyAlignment="1" applyProtection="0">
      <alignment vertical="top" wrapText="1"/>
    </xf>
    <xf numFmtId="61" fontId="0" fillId="5" borderId="5" applyNumberFormat="1" applyFont="1" applyFill="1" applyBorder="1" applyAlignment="1" applyProtection="0">
      <alignment vertical="top" wrapText="1"/>
    </xf>
    <xf numFmtId="62" fontId="0" fillId="5" borderId="7" applyNumberFormat="1" applyFont="1" applyFill="1" applyBorder="1" applyAlignment="1" applyProtection="0">
      <alignment vertical="top" wrapText="1"/>
    </xf>
    <xf numFmtId="62" fontId="0" fillId="5" borderId="5" applyNumberFormat="1" applyFont="1" applyFill="1" applyBorder="1" applyAlignment="1" applyProtection="0">
      <alignment vertical="top" wrapText="1"/>
    </xf>
    <xf numFmtId="3" fontId="0" fillId="6" borderId="10" applyNumberFormat="1" applyFont="1" applyFill="1" applyBorder="1" applyAlignment="1" applyProtection="0">
      <alignment vertical="top" wrapText="1"/>
    </xf>
    <xf numFmtId="3" fontId="0" fillId="6" borderId="8" applyNumberFormat="1" applyFont="1" applyFill="1" applyBorder="1" applyAlignment="1" applyProtection="0">
      <alignment vertical="top" wrapText="1"/>
    </xf>
    <xf numFmtId="0" fontId="2" fillId="4" borderId="11" applyNumberFormat="0" applyFont="1" applyFill="1" applyBorder="1" applyAlignment="1" applyProtection="0">
      <alignment vertical="top" wrapText="1"/>
    </xf>
    <xf numFmtId="0" fontId="2" fillId="4" borderId="12" applyNumberFormat="0" applyFont="1" applyFill="1" applyBorder="1" applyAlignment="1" applyProtection="0">
      <alignment vertical="top" wrapText="1"/>
    </xf>
    <xf numFmtId="3" fontId="0" borderId="13" applyNumberFormat="1" applyFont="1" applyFill="0" applyBorder="1" applyAlignment="1" applyProtection="0">
      <alignment vertical="top" wrapText="1"/>
    </xf>
    <xf numFmtId="3" fontId="0" borderId="11" applyNumberFormat="1" applyFont="1" applyFill="0" applyBorder="1" applyAlignment="1" applyProtection="0">
      <alignment vertical="top" wrapText="1"/>
    </xf>
    <xf numFmtId="49" fontId="2" fillId="4" borderId="5" applyNumberFormat="1" applyFont="1" applyFill="1" applyBorder="1" applyAlignment="1" applyProtection="0">
      <alignment vertical="top" wrapText="1"/>
    </xf>
    <xf numFmtId="3" fontId="0" borderId="7" applyNumberFormat="1" applyFont="1" applyFill="0" applyBorder="1" applyAlignment="1" applyProtection="0">
      <alignment vertical="top" wrapText="1"/>
    </xf>
    <xf numFmtId="3" fontId="0" borderId="5" applyNumberFormat="1" applyFont="1" applyFill="0" applyBorder="1" applyAlignment="1" applyProtection="0">
      <alignment vertical="top" wrapText="1"/>
    </xf>
    <xf numFmtId="3" fontId="0" borderId="10" applyNumberFormat="1" applyFont="1" applyFill="0" applyBorder="1" applyAlignment="1" applyProtection="0">
      <alignment vertical="top" wrapText="1"/>
    </xf>
    <xf numFmtId="3" fontId="0" borderId="8" applyNumberFormat="1" applyFont="1" applyFill="0" applyBorder="1" applyAlignment="1" applyProtection="0">
      <alignment vertical="top" wrapText="1"/>
    </xf>
    <xf numFmtId="3" fontId="0" borderId="14" applyNumberFormat="1" applyFont="1" applyFill="0" applyBorder="1" applyAlignment="1" applyProtection="0">
      <alignment vertical="top" wrapText="1"/>
    </xf>
    <xf numFmtId="3" fontId="0" borderId="15" applyNumberFormat="1" applyFont="1" applyFill="0" applyBorder="1" applyAlignment="1" applyProtection="0">
      <alignment vertical="top" wrapText="1"/>
    </xf>
    <xf numFmtId="59" fontId="2" borderId="7" applyNumberFormat="1" applyFont="1" applyFill="0" applyBorder="1" applyAlignment="1" applyProtection="0">
      <alignment vertical="top" wrapText="1"/>
    </xf>
    <xf numFmtId="59" fontId="2" borderId="5" applyNumberFormat="1" applyFont="1" applyFill="0" applyBorder="1" applyAlignment="1" applyProtection="0">
      <alignment vertical="top" wrapText="1"/>
    </xf>
    <xf numFmtId="0" fontId="0" applyNumberFormat="1" applyFont="1" applyFill="0" applyBorder="0" applyAlignment="1" applyProtection="0">
      <alignment vertical="top" wrapText="1"/>
    </xf>
    <xf numFmtId="49" fontId="2" fillId="2" borderId="1" applyNumberFormat="1" applyFont="1" applyFill="1" applyBorder="1" applyAlignment="1" applyProtection="0">
      <alignment vertical="top" wrapText="1"/>
    </xf>
    <xf numFmtId="49" fontId="2" fillId="2" borderId="1" applyNumberFormat="1" applyFont="1" applyFill="1" applyBorder="1" applyAlignment="1" applyProtection="0">
      <alignment horizontal="right" vertical="top" wrapText="1"/>
    </xf>
    <xf numFmtId="0" fontId="2" fillId="4" borderId="3" applyNumberFormat="1" applyFont="1" applyFill="1" applyBorder="1" applyAlignment="1" applyProtection="0">
      <alignment vertical="top" wrapText="1"/>
    </xf>
    <xf numFmtId="3" fontId="0" fillId="5" borderId="4" applyNumberFormat="1" applyFont="1" applyFill="1" applyBorder="1" applyAlignment="1" applyProtection="0">
      <alignment vertical="top" wrapText="1"/>
    </xf>
    <xf numFmtId="3" fontId="0" fillId="5" borderId="2" applyNumberFormat="1" applyFont="1" applyFill="1" applyBorder="1" applyAlignment="1" applyProtection="0">
      <alignment vertical="top" wrapText="1"/>
    </xf>
    <xf numFmtId="0" fontId="2" fillId="4" borderId="6" applyNumberFormat="1" applyFont="1" applyFill="1" applyBorder="1" applyAlignment="1" applyProtection="0">
      <alignment vertical="top" wrapText="1"/>
    </xf>
    <xf numFmtId="0" fontId="0" applyNumberFormat="1" applyFont="1" applyFill="0" applyBorder="0" applyAlignment="1" applyProtection="0">
      <alignment vertical="top" wrapText="1"/>
    </xf>
    <xf numFmtId="0" fontId="0" borderId="4" applyNumberFormat="1" applyFont="1" applyFill="0" applyBorder="1" applyAlignment="1" applyProtection="0">
      <alignment vertical="top" wrapText="1"/>
    </xf>
    <xf numFmtId="0" fontId="0" borderId="2" applyNumberFormat="1" applyFont="1" applyFill="0" applyBorder="1" applyAlignment="1" applyProtection="0">
      <alignment vertical="top" wrapText="1"/>
    </xf>
    <xf numFmtId="0" fontId="0" borderId="7" applyNumberFormat="1" applyFont="1" applyFill="0" applyBorder="1" applyAlignment="1" applyProtection="0">
      <alignment vertical="top" wrapText="1"/>
    </xf>
    <xf numFmtId="0" fontId="0" borderId="5" applyNumberFormat="1" applyFont="1" applyFill="0" applyBorder="1" applyAlignment="1" applyProtection="0">
      <alignment vertical="top" wrapText="1"/>
    </xf>
    <xf numFmtId="61" fontId="0" borderId="7" applyNumberFormat="1" applyFont="1" applyFill="0" applyBorder="1" applyAlignment="1" applyProtection="0">
      <alignment vertical="top" wrapText="1"/>
    </xf>
    <xf numFmtId="61" fontId="0" borderId="5" applyNumberFormat="1" applyFont="1" applyFill="0" applyBorder="1" applyAlignment="1" applyProtection="0">
      <alignment vertical="top" wrapText="1"/>
    </xf>
    <xf numFmtId="0" fontId="2" fillId="4" borderId="6" applyNumberFormat="0" applyFont="1" applyFill="1" applyBorder="1" applyAlignment="1" applyProtection="0">
      <alignment vertical="top" wrapText="1"/>
    </xf>
    <xf numFmtId="0" fontId="0" borderId="7" applyNumberFormat="0" applyFont="1" applyFill="0" applyBorder="1" applyAlignment="1" applyProtection="0">
      <alignment vertical="top" wrapText="1"/>
    </xf>
    <xf numFmtId="0" fontId="0" borderId="5" applyNumberFormat="0" applyFont="1" applyFill="0" applyBorder="1" applyAlignment="1" applyProtection="0">
      <alignment vertical="top" wrapText="1"/>
    </xf>
    <xf numFmtId="0" fontId="0" borderId="7" applyNumberFormat="1" applyFont="1" applyFill="0" applyBorder="1" applyAlignment="1" applyProtection="0">
      <alignment horizontal="right" vertical="top" wrapText="1"/>
    </xf>
    <xf numFmtId="0" fontId="0" borderId="5" applyNumberFormat="1" applyFont="1" applyFill="0" applyBorder="1" applyAlignment="1" applyProtection="0">
      <alignment horizontal="right" vertical="top" wrapText="1"/>
    </xf>
    <xf numFmtId="63" fontId="0" borderId="7" applyNumberFormat="1" applyFont="1" applyFill="0" applyBorder="1" applyAlignment="1" applyProtection="0">
      <alignment vertical="top" wrapText="1"/>
    </xf>
    <xf numFmtId="63" fontId="0" borderId="5" applyNumberFormat="1" applyFont="1" applyFill="0" applyBorder="1" applyAlignment="1" applyProtection="0">
      <alignment vertical="top" wrapText="1"/>
    </xf>
    <xf numFmtId="0" fontId="0" applyNumberFormat="1" applyFont="1" applyFill="0" applyBorder="0" applyAlignment="1" applyProtection="0">
      <alignment vertical="top" wrapText="1"/>
    </xf>
    <xf numFmtId="0" fontId="2" fillId="4" borderId="2" applyNumberFormat="0" applyFont="1" applyFill="1" applyBorder="1" applyAlignment="1" applyProtection="0">
      <alignment vertical="top" wrapText="1"/>
    </xf>
    <xf numFmtId="3" fontId="0" borderId="4" applyNumberFormat="1" applyFont="1" applyFill="0" applyBorder="1" applyAlignment="1" applyProtection="0">
      <alignment vertical="top" wrapText="1"/>
    </xf>
    <xf numFmtId="3" fontId="0" borderId="2" applyNumberFormat="1" applyFont="1" applyFill="0" applyBorder="1" applyAlignment="1" applyProtection="0">
      <alignment vertical="top" wrapText="1"/>
    </xf>
    <xf numFmtId="4" fontId="0" borderId="7" applyNumberFormat="1" applyFont="1" applyFill="0" applyBorder="1" applyAlignment="1" applyProtection="0">
      <alignment vertical="top" wrapText="1"/>
    </xf>
    <xf numFmtId="1" fontId="0" borderId="7" applyNumberFormat="1" applyFont="1" applyFill="0" applyBorder="1" applyAlignment="1" applyProtection="0">
      <alignment vertical="top" wrapText="1"/>
    </xf>
    <xf numFmtId="1" fontId="0" borderId="5" applyNumberFormat="1" applyFont="1" applyFill="0" applyBorder="1" applyAlignment="1" applyProtection="0">
      <alignment vertical="top" wrapText="1"/>
    </xf>
    <xf numFmtId="0" fontId="0" applyNumberFormat="1" applyFont="1" applyFill="0" applyBorder="0" applyAlignment="1" applyProtection="0">
      <alignment vertical="top" wrapText="1"/>
    </xf>
    <xf numFmtId="61" fontId="0" borderId="4" applyNumberFormat="1" applyFont="1" applyFill="0" applyBorder="1" applyAlignment="1" applyProtection="0">
      <alignment vertical="top" wrapText="1"/>
    </xf>
    <xf numFmtId="61" fontId="0" borderId="2" applyNumberFormat="1" applyFont="1" applyFill="0" applyBorder="1" applyAlignment="1" applyProtection="0">
      <alignment vertical="top" wrapText="1"/>
    </xf>
    <xf numFmtId="4" fontId="0" borderId="5" applyNumberFormat="1" applyFont="1" applyFill="0" applyBorder="1" applyAlignment="1" applyProtection="0">
      <alignment vertical="top" wrapText="1"/>
    </xf>
    <xf numFmtId="0" fontId="0" applyNumberFormat="1" applyFont="1" applyFill="0" applyBorder="0" applyAlignment="1" applyProtection="0">
      <alignment vertical="top" wrapText="1"/>
    </xf>
    <xf numFmtId="0" fontId="2" fillId="4" borderId="3" applyNumberFormat="0" applyFont="1" applyFill="1" applyBorder="1" applyAlignment="1" applyProtection="0">
      <alignment vertical="top" wrapText="1"/>
    </xf>
    <xf numFmtId="0" fontId="2" fillId="4" borderId="6" applyNumberFormat="0" applyFont="1" applyFill="1" applyBorder="1" applyAlignment="1" applyProtection="0">
      <alignment horizontal="right" vertical="top" wrapText="1"/>
    </xf>
    <xf numFmtId="49" fontId="2" fillId="4" borderId="6" applyNumberFormat="1" applyFont="1" applyFill="1" applyBorder="1" applyAlignment="1" applyProtection="0">
      <alignment horizontal="right" vertical="top" wrapText="1"/>
    </xf>
    <xf numFmtId="0" fontId="0" applyNumberFormat="1" applyFont="1" applyFill="0" applyBorder="0" applyAlignment="1" applyProtection="0">
      <alignment vertical="top" wrapText="1"/>
    </xf>
    <xf numFmtId="3" fontId="0" borderId="5" applyNumberFormat="1" applyFont="1" applyFill="0" applyBorder="1" applyAlignment="1" applyProtection="0">
      <alignment horizontal="right" vertical="top" wrapText="1"/>
    </xf>
    <xf numFmtId="0" fontId="0" applyNumberFormat="1" applyFont="1" applyFill="0" applyBorder="0" applyAlignment="1" applyProtection="0">
      <alignment vertical="top" wrapText="1"/>
    </xf>
    <xf numFmtId="63" fontId="2" borderId="7" applyNumberFormat="1" applyFont="1" applyFill="0" applyBorder="1" applyAlignment="1" applyProtection="0">
      <alignment vertical="top" wrapText="1"/>
    </xf>
    <xf numFmtId="63" fontId="2" borderId="5" applyNumberFormat="1" applyFont="1" applyFill="0" applyBorder="1" applyAlignment="1" applyProtection="0">
      <alignment vertical="top" wrapText="1"/>
    </xf>
    <xf numFmtId="0" fontId="0" applyNumberFormat="1" applyFont="1" applyFill="0" applyBorder="0" applyAlignment="1" applyProtection="0">
      <alignment vertical="top" wrapText="1"/>
    </xf>
    <xf numFmtId="9" fontId="2" fillId="4" borderId="3" applyNumberFormat="1" applyFont="1" applyFill="1" applyBorder="1" applyAlignment="1" applyProtection="0">
      <alignment vertical="top" wrapText="1"/>
    </xf>
    <xf numFmtId="10" fontId="2" borderId="18" applyNumberFormat="1" applyFont="1" applyFill="0" applyBorder="1" applyAlignment="1" applyProtection="0">
      <alignment vertical="top" wrapText="1"/>
    </xf>
    <xf numFmtId="10" fontId="2" borderId="4" applyNumberFormat="1" applyFont="1" applyFill="0" applyBorder="1" applyAlignment="1" applyProtection="0">
      <alignment vertical="top" wrapText="1"/>
    </xf>
    <xf numFmtId="10" fontId="2" borderId="2" applyNumberFormat="1" applyFont="1" applyFill="0" applyBorder="1" applyAlignment="1" applyProtection="0">
      <alignment vertical="top" wrapText="1"/>
    </xf>
    <xf numFmtId="9" fontId="2" fillId="4" borderId="6" applyNumberFormat="1" applyFont="1" applyFill="1" applyBorder="1" applyAlignment="1" applyProtection="0">
      <alignment vertical="top" wrapText="1"/>
    </xf>
    <xf numFmtId="10" fontId="2" borderId="19" applyNumberFormat="1" applyFont="1" applyFill="0" applyBorder="1" applyAlignment="1" applyProtection="0">
      <alignment vertical="top" wrapText="1"/>
    </xf>
    <xf numFmtId="10" fontId="2" borderId="7" applyNumberFormat="1" applyFont="1" applyFill="0" applyBorder="1" applyAlignment="1" applyProtection="0">
      <alignment vertical="top" wrapText="1"/>
    </xf>
    <xf numFmtId="10" fontId="2" borderId="5" applyNumberFormat="1" applyFont="1" applyFill="0" applyBorder="1" applyAlignment="1" applyProtection="0">
      <alignment vertical="top" wrapText="1"/>
    </xf>
    <xf numFmtId="10" fontId="2" fillId="7" borderId="5" applyNumberFormat="1" applyFont="1" applyFill="1" applyBorder="1" applyAlignment="1" applyProtection="0">
      <alignment vertical="top" wrapText="1"/>
    </xf>
    <xf numFmtId="10" fontId="2" fillId="8" borderId="19" applyNumberFormat="1" applyFont="1" applyFill="1" applyBorder="1" applyAlignment="1" applyProtection="0">
      <alignment vertical="top" wrapText="1"/>
    </xf>
    <xf numFmtId="10" fontId="2" fillId="8" borderId="7" applyNumberFormat="1" applyFont="1" applyFill="1" applyBorder="1" applyAlignment="1" applyProtection="0">
      <alignment vertical="top" wrapText="1"/>
    </xf>
    <xf numFmtId="0" fontId="0" applyNumberFormat="1" applyFont="1" applyFill="0" applyBorder="0" applyAlignment="1" applyProtection="0">
      <alignment vertical="top" wrapText="1"/>
    </xf>
    <xf numFmtId="64" fontId="0" borderId="7" applyNumberFormat="1" applyFont="1" applyFill="0" applyBorder="1" applyAlignment="1" applyProtection="0">
      <alignment vertical="top" wrapText="1"/>
    </xf>
    <xf numFmtId="64" fontId="0" borderId="5" applyNumberFormat="1" applyFont="1" applyFill="0" applyBorder="1" applyAlignment="1" applyProtection="0">
      <alignment vertical="top" wrapText="1"/>
    </xf>
    <xf numFmtId="0" fontId="0" applyNumberFormat="1" applyFont="1" applyFill="0" applyBorder="0" applyAlignment="1" applyProtection="0">
      <alignment vertical="top" wrapText="1"/>
    </xf>
    <xf numFmtId="49" fontId="2" borderId="2" applyNumberFormat="1" applyFont="1" applyFill="0" applyBorder="1" applyAlignment="1" applyProtection="0">
      <alignment vertical="top" wrapText="1"/>
    </xf>
    <xf numFmtId="49" fontId="2" borderId="5" applyNumberFormat="1" applyFont="1" applyFill="0" applyBorder="1" applyAlignment="1" applyProtection="0">
      <alignment vertical="top" wrapText="1"/>
    </xf>
  </cellXfs>
  <cellStyles count="1">
    <cellStyle name="Normal" xfId="0" builtinId="0"/>
  </cellStyles>
  <dxfs count="17">
    <dxf>
      <font>
        <color rgb="ff000000"/>
      </font>
      <fill>
        <patternFill patternType="solid">
          <fgColor indexed="16"/>
          <bgColor indexed="17"/>
        </patternFill>
      </fill>
    </dxf>
    <dxf>
      <font>
        <color rgb="ff000000"/>
      </font>
      <fill>
        <patternFill patternType="solid">
          <fgColor indexed="16"/>
          <bgColor indexed="18"/>
        </patternFill>
      </fill>
    </dxf>
    <dxf>
      <font>
        <color rgb="ff000000"/>
      </font>
      <fill>
        <patternFill patternType="solid">
          <fgColor indexed="16"/>
          <bgColor indexed="19"/>
        </patternFill>
      </fill>
    </dxf>
    <dxf>
      <font>
        <color rgb="ff000000"/>
      </font>
      <fill>
        <patternFill patternType="solid">
          <fgColor indexed="16"/>
          <bgColor indexed="17"/>
        </patternFill>
      </fill>
    </dxf>
    <dxf>
      <font>
        <color rgb="ff000000"/>
      </font>
      <fill>
        <patternFill patternType="solid">
          <fgColor indexed="16"/>
          <bgColor indexed="18"/>
        </patternFill>
      </fill>
    </dxf>
    <dxf>
      <font>
        <color rgb="ff000000"/>
      </font>
      <fill>
        <patternFill patternType="solid">
          <fgColor indexed="16"/>
          <bgColor indexed="19"/>
        </patternFill>
      </fill>
    </dxf>
    <dxf>
      <font>
        <color rgb="ff000000"/>
      </font>
      <fill>
        <patternFill patternType="solid">
          <fgColor indexed="16"/>
          <bgColor indexed="17"/>
        </patternFill>
      </fill>
    </dxf>
    <dxf>
      <font>
        <color rgb="ff000000"/>
      </font>
      <fill>
        <patternFill patternType="solid">
          <fgColor indexed="16"/>
          <bgColor indexed="17"/>
        </patternFill>
      </fill>
    </dxf>
    <dxf>
      <font>
        <color rgb="ff000000"/>
      </font>
      <fill>
        <patternFill patternType="solid">
          <fgColor indexed="16"/>
          <bgColor indexed="19"/>
        </patternFill>
      </fill>
    </dxf>
    <dxf>
      <font>
        <color rgb="ff000000"/>
      </font>
      <fill>
        <patternFill patternType="solid">
          <fgColor indexed="16"/>
          <bgColor indexed="18"/>
        </patternFill>
      </fill>
    </dxf>
    <dxf>
      <font>
        <color rgb="ff000000"/>
      </font>
      <fill>
        <patternFill patternType="solid">
          <fgColor indexed="16"/>
          <bgColor indexed="17"/>
        </patternFill>
      </fill>
    </dxf>
    <dxf>
      <font>
        <color rgb="ff000000"/>
      </font>
      <fill>
        <patternFill patternType="solid">
          <fgColor indexed="16"/>
          <bgColor indexed="18"/>
        </patternFill>
      </fill>
    </dxf>
    <dxf>
      <font>
        <color rgb="ff000000"/>
      </font>
      <fill>
        <patternFill patternType="solid">
          <fgColor indexed="16"/>
          <bgColor indexed="19"/>
        </patternFill>
      </fill>
    </dxf>
    <dxf>
      <font>
        <color rgb="ff000000"/>
      </font>
      <fill>
        <patternFill patternType="solid">
          <fgColor indexed="16"/>
          <bgColor indexed="19"/>
        </patternFill>
      </fill>
    </dxf>
    <dxf>
      <font>
        <color rgb="ff000000"/>
      </font>
      <fill>
        <patternFill patternType="solid">
          <fgColor indexed="16"/>
          <bgColor indexed="19"/>
        </patternFill>
      </fill>
    </dxf>
    <dxf>
      <font>
        <color rgb="ff000000"/>
      </font>
      <fill>
        <patternFill patternType="solid">
          <fgColor indexed="16"/>
          <bgColor indexed="19"/>
        </patternFill>
      </fill>
    </dxf>
    <dxf>
      <font>
        <color rgb="ff000000"/>
      </font>
      <fill>
        <patternFill patternType="solid">
          <fgColor indexed="16"/>
          <bgColor indexed="19"/>
        </patternFill>
      </fill>
    </dxf>
  </dxfs>
  <tableStyles count="0"/>
  <colors>
    <indexedColors>
      <rgbColor rgb="ff000000"/>
      <rgbColor rgb="ffffffff"/>
      <rgbColor rgb="ffff0000"/>
      <rgbColor rgb="ff00ff00"/>
      <rgbColor rgb="ff0000ff"/>
      <rgbColor rgb="ffffff00"/>
      <rgbColor rgb="ffff00ff"/>
      <rgbColor rgb="ff00ffff"/>
      <rgbColor rgb="ff000000"/>
      <rgbColor rgb="ffbdc0bf"/>
      <rgbColor rgb="ffa5a5a5"/>
      <rgbColor rgb="ff3f3f3f"/>
      <rgbColor rgb="ffffd931"/>
      <rgbColor rgb="ffdbdbdb"/>
      <rgbColor rgb="fff9eb8d"/>
      <rgbColor rgb="fffefffe"/>
      <rgbColor rgb="00000000"/>
      <rgbColor rgb="e5ff9781"/>
      <rgbColor rgb="e5fffc98"/>
      <rgbColor rgb="e5afe489"/>
      <rgbColor rgb="ffb8b8b8"/>
      <rgbColor rgb="ffff968c"/>
      <rgbColor rgb="ff56c1fe"/>
      <rgbColor rgb="ff919191"/>
      <rgbColor rgb="fff8ba00"/>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s>

</file>

<file path=xl/charts/chart1.xml><?xml version="1.0" encoding="utf-8"?>
<c:chartSpace xmlns:c="http://schemas.openxmlformats.org/drawingml/2006/chart" xmlns:a="http://schemas.openxmlformats.org/drawingml/2006/main" xmlns:r="http://schemas.openxmlformats.org/officeDocument/2006/relationships">
  <c:date1904 val="0"/>
  <c:roundedCorners val="0"/>
  <c:chart>
    <c:autoTitleDeleted val="1"/>
    <c:plotArea>
      <c:layout>
        <c:manualLayout>
          <c:layoutTarget val="inner"/>
          <c:xMode val="edge"/>
          <c:yMode val="edge"/>
          <c:x val="0.100073"/>
          <c:y val="0.0766364"/>
          <c:w val="0.894927"/>
          <c:h val="0.877724"/>
        </c:manualLayout>
      </c:layout>
      <c:barChart>
        <c:barDir val="col"/>
        <c:grouping val="clustered"/>
        <c:varyColors val="0"/>
        <c:ser>
          <c:idx val="0"/>
          <c:order val="0"/>
          <c:tx>
            <c:strRef>
              <c:f>'Dynamische Amortisation'!$C$2</c:f>
              <c:strCache>
                <c:ptCount val="1"/>
                <c:pt idx="0">
                  <c:v>9,75kWp</c:v>
                </c:pt>
              </c:strCache>
            </c:strRef>
          </c:tx>
          <c:spPr>
            <a:solidFill>
              <a:schemeClr val="accent1"/>
            </a:solidFill>
            <a:ln w="12700" cap="flat">
              <a:noFill/>
              <a:miter lim="400000"/>
            </a:ln>
            <a:effectLst/>
          </c:spPr>
          <c:invertIfNegative val="0"/>
          <c:dLbls>
            <c:numFmt formatCode="#,##0" sourceLinked="1"/>
            <c:txPr>
              <a:bodyPr/>
              <a:lstStyle/>
              <a:p>
                <a:pPr>
                  <a:defRPr b="0" i="0" strike="noStrike" sz="1200" u="none">
                    <a:solidFill>
                      <a:srgbClr val="FFFFFF"/>
                    </a:solidFill>
                    <a:latin typeface="Helvetica Neue"/>
                  </a:defRPr>
                </a:pPr>
              </a:p>
            </c:txPr>
            <c:dLblPos val="inEnd"/>
            <c:showLegendKey val="0"/>
            <c:showVal val="0"/>
            <c:showCatName val="0"/>
            <c:showSerName val="0"/>
            <c:showPercent val="0"/>
            <c:showBubbleSize val="0"/>
            <c:showLeaderLines val="0"/>
          </c:dLbls>
          <c:cat>
            <c:strRef>
              <c:f>'Dynamische Amortisation'!$B$7:$B$26</c:f>
              <c:strCach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strCache>
            </c:strRef>
          </c:cat>
          <c:val>
            <c:numRef>
              <c:f>'Dynamische Amortisation'!$C$7:$C$26</c:f>
              <c:numCache>
                <c:ptCount val="20"/>
                <c:pt idx="0">
                  <c:v>-12887.565431</c:v>
                </c:pt>
                <c:pt idx="1">
                  <c:v>-11473.830337</c:v>
                </c:pt>
                <c:pt idx="2">
                  <c:v>-10058.240312</c:v>
                </c:pt>
                <c:pt idx="3">
                  <c:v>-8640.240223</c:v>
                </c:pt>
                <c:pt idx="4">
                  <c:v>-7219.273992</c:v>
                </c:pt>
                <c:pt idx="5">
                  <c:v>-5794.784376</c:v>
                </c:pt>
                <c:pt idx="6">
                  <c:v>-4366.212753</c:v>
                </c:pt>
                <c:pt idx="7">
                  <c:v>-2932.998897</c:v>
                </c:pt>
                <c:pt idx="8">
                  <c:v>-1494.580765</c:v>
                </c:pt>
                <c:pt idx="9">
                  <c:v>-50.394271</c:v>
                </c:pt>
                <c:pt idx="10">
                  <c:v>1400.126932</c:v>
                </c:pt>
                <c:pt idx="11">
                  <c:v>2857.551677</c:v>
                </c:pt>
                <c:pt idx="12">
                  <c:v>4322.451503</c:v>
                </c:pt>
                <c:pt idx="13">
                  <c:v>5795.400880</c:v>
                </c:pt>
                <c:pt idx="14">
                  <c:v>7276.977435</c:v>
                </c:pt>
                <c:pt idx="15">
                  <c:v>8767.762179</c:v>
                </c:pt>
                <c:pt idx="16">
                  <c:v>10268.339733</c:v>
                </c:pt>
                <c:pt idx="17">
                  <c:v>11779.298560</c:v>
                </c:pt>
                <c:pt idx="18">
                  <c:v>13301.231191</c:v>
                </c:pt>
                <c:pt idx="19">
                  <c:v>14834.734463</c:v>
                </c:pt>
              </c:numCache>
            </c:numRef>
          </c:val>
        </c:ser>
        <c:ser>
          <c:idx val="1"/>
          <c:order val="1"/>
          <c:tx>
            <c:strRef>
              <c:f>'Dynamische Amortisation'!$D$2</c:f>
              <c:strCache>
                <c:ptCount val="1"/>
                <c:pt idx="0">
                  <c:v>12,76kWp</c:v>
                </c:pt>
              </c:strCache>
            </c:strRef>
          </c:tx>
          <c:spPr>
            <a:solidFill>
              <a:schemeClr val="accent3"/>
            </a:solidFill>
            <a:ln w="12700" cap="flat">
              <a:noFill/>
              <a:miter lim="400000"/>
            </a:ln>
            <a:effectLst/>
          </c:spPr>
          <c:invertIfNegative val="0"/>
          <c:dLbls>
            <c:numFmt formatCode="#,##0" sourceLinked="1"/>
            <c:txPr>
              <a:bodyPr/>
              <a:lstStyle/>
              <a:p>
                <a:pPr>
                  <a:defRPr b="0" i="0" strike="noStrike" sz="1200" u="none">
                    <a:solidFill>
                      <a:srgbClr val="FFFFFF"/>
                    </a:solidFill>
                    <a:latin typeface="Helvetica Neue"/>
                  </a:defRPr>
                </a:pPr>
              </a:p>
            </c:txPr>
            <c:dLblPos val="inEnd"/>
            <c:showLegendKey val="0"/>
            <c:showVal val="0"/>
            <c:showCatName val="0"/>
            <c:showSerName val="0"/>
            <c:showPercent val="0"/>
            <c:showBubbleSize val="0"/>
            <c:showLeaderLines val="0"/>
          </c:dLbls>
          <c:cat>
            <c:strRef>
              <c:f>'Dynamische Amortisation'!$B$7:$B$26</c:f>
              <c:strCach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strCache>
            </c:strRef>
          </c:cat>
          <c:val>
            <c:numRef>
              <c:f>'Dynamische Amortisation'!$D$7:$D$26</c:f>
              <c:numCache>
                <c:ptCount val="20"/>
                <c:pt idx="0">
                  <c:v>-17240.335015</c:v>
                </c:pt>
                <c:pt idx="1">
                  <c:v>-15584.071172</c:v>
                </c:pt>
                <c:pt idx="2">
                  <c:v>-13930.558956</c:v>
                </c:pt>
                <c:pt idx="3">
                  <c:v>-12279.149929</c:v>
                </c:pt>
                <c:pt idx="4">
                  <c:v>-10629.196481</c:v>
                </c:pt>
                <c:pt idx="5">
                  <c:v>-8980.051572</c:v>
                </c:pt>
                <c:pt idx="6">
                  <c:v>-7331.068477</c:v>
                </c:pt>
                <c:pt idx="7">
                  <c:v>-5681.600537</c:v>
                </c:pt>
                <c:pt idx="8">
                  <c:v>-4031.000902</c:v>
                </c:pt>
                <c:pt idx="9">
                  <c:v>-2378.622277</c:v>
                </c:pt>
                <c:pt idx="10">
                  <c:v>-723.816671</c:v>
                </c:pt>
                <c:pt idx="11">
                  <c:v>934.064860</c:v>
                </c:pt>
                <c:pt idx="12">
                  <c:v>2595.672464</c:v>
                </c:pt>
                <c:pt idx="13">
                  <c:v>4261.657753</c:v>
                </c:pt>
                <c:pt idx="14">
                  <c:v>5932.674055</c:v>
                </c:pt>
                <c:pt idx="15">
                  <c:v>7609.376670</c:v>
                </c:pt>
                <c:pt idx="16">
                  <c:v>9292.423128</c:v>
                </c:pt>
                <c:pt idx="17">
                  <c:v>10982.473448</c:v>
                </c:pt>
                <c:pt idx="18">
                  <c:v>12680.190394</c:v>
                </c:pt>
                <c:pt idx="19">
                  <c:v>14386.239738</c:v>
                </c:pt>
              </c:numCache>
            </c:numRef>
          </c:val>
        </c:ser>
        <c:gapWidth val="40"/>
        <c:overlap val="-10"/>
        <c:axId val="2094734552"/>
        <c:axId val="2094734553"/>
      </c:barChart>
      <c:catAx>
        <c:axId val="2094734552"/>
        <c:scaling>
          <c:orientation val="minMax"/>
        </c:scaling>
        <c:delete val="0"/>
        <c:axPos val="b"/>
        <c:numFmt formatCode="#,##0" sourceLinked="1"/>
        <c:majorTickMark val="none"/>
        <c:minorTickMark val="none"/>
        <c:tickLblPos val="low"/>
        <c:spPr>
          <a:ln w="12700" cap="flat">
            <a:solidFill>
              <a:srgbClr val="000000"/>
            </a:solidFill>
            <a:prstDash val="solid"/>
            <a:miter lim="400000"/>
          </a:ln>
        </c:spPr>
        <c:txPr>
          <a:bodyPr rot="0"/>
          <a:lstStyle/>
          <a:p>
            <a:pPr>
              <a:defRPr b="0" i="0" strike="noStrike" sz="1000" u="none">
                <a:solidFill>
                  <a:srgbClr val="000000"/>
                </a:solidFill>
                <a:latin typeface="Helvetica Neue"/>
              </a:defRPr>
            </a:pPr>
          </a:p>
        </c:txPr>
        <c:crossAx val="2094734553"/>
        <c:crosses val="autoZero"/>
        <c:auto val="1"/>
        <c:lblAlgn val="ctr"/>
        <c:noMultiLvlLbl val="1"/>
      </c:catAx>
      <c:valAx>
        <c:axId val="2094734553"/>
        <c:scaling>
          <c:orientation val="minMax"/>
        </c:scaling>
        <c:delete val="0"/>
        <c:axPos val="l"/>
        <c:majorGridlines>
          <c:spPr>
            <a:ln w="6350" cap="flat">
              <a:solidFill>
                <a:srgbClr val="B8B8B8"/>
              </a:solidFill>
              <a:prstDash val="solid"/>
              <a:miter lim="400000"/>
            </a:ln>
          </c:spPr>
        </c:majorGridlines>
        <c:numFmt formatCode="#,##0" sourceLinked="1"/>
        <c:majorTickMark val="none"/>
        <c:minorTickMark val="none"/>
        <c:tickLblPos val="nextTo"/>
        <c:spPr>
          <a:ln w="12700" cap="flat">
            <a:noFill/>
            <a:prstDash val="solid"/>
            <a:miter lim="400000"/>
          </a:ln>
        </c:spPr>
        <c:txPr>
          <a:bodyPr rot="0"/>
          <a:lstStyle/>
          <a:p>
            <a:pPr>
              <a:defRPr b="0" i="0" strike="noStrike" sz="1000" u="none">
                <a:solidFill>
                  <a:srgbClr val="000000"/>
                </a:solidFill>
                <a:latin typeface="Helvetica Neue"/>
              </a:defRPr>
            </a:pPr>
          </a:p>
        </c:txPr>
        <c:crossAx val="2094734552"/>
        <c:crosses val="autoZero"/>
        <c:crossBetween val="between"/>
        <c:majorUnit val="9000"/>
        <c:minorUnit val="4500"/>
      </c:valAx>
      <c:spPr>
        <a:noFill/>
        <a:ln w="12700" cap="flat">
          <a:noFill/>
          <a:miter lim="400000"/>
        </a:ln>
        <a:effectLst/>
      </c:spPr>
    </c:plotArea>
    <c:legend>
      <c:legendPos val="t"/>
      <c:layout>
        <c:manualLayout>
          <c:xMode val="edge"/>
          <c:yMode val="edge"/>
          <c:x val="0.0722375"/>
          <c:y val="0"/>
          <c:w val="0.9"/>
          <c:h val="0.0492071"/>
        </c:manualLayout>
      </c:layout>
      <c:overlay val="1"/>
      <c:spPr>
        <a:noFill/>
        <a:ln w="12700" cap="flat">
          <a:noFill/>
          <a:miter lim="400000"/>
        </a:ln>
        <a:effectLst/>
      </c:spPr>
      <c:txPr>
        <a:bodyPr rot="0"/>
        <a:lstStyle/>
        <a:p>
          <a:pPr>
            <a:defRPr b="0" i="0" strike="noStrike" sz="1000" u="none">
              <a:solidFill>
                <a:srgbClr val="000000"/>
              </a:solidFill>
              <a:latin typeface="Helvetica Neue"/>
            </a:defRPr>
          </a:pPr>
        </a:p>
      </c:txPr>
    </c:legend>
    <c:plotVisOnly val="1"/>
    <c:dispBlanksAs val="gap"/>
  </c:chart>
  <c:spPr>
    <a:noFill/>
    <a:ln>
      <a:noFill/>
    </a:ln>
    <a:effectLst/>
  </c:spPr>
</c:chartSpace>
</file>

<file path=xl/charts/chart2.xml><?xml version="1.0" encoding="utf-8"?>
<c:chartSpace xmlns:c="http://schemas.openxmlformats.org/drawingml/2006/chart" xmlns:a="http://schemas.openxmlformats.org/drawingml/2006/main" xmlns:r="http://schemas.openxmlformats.org/officeDocument/2006/relationships">
  <c:date1904 val="0"/>
  <c:roundedCorners val="0"/>
  <c:chart>
    <c:autoTitleDeleted val="1"/>
    <c:plotArea>
      <c:layout>
        <c:manualLayout>
          <c:layoutTarget val="inner"/>
          <c:xMode val="edge"/>
          <c:yMode val="edge"/>
          <c:x val="0.0984861"/>
          <c:y val="0.12368"/>
          <c:w val="0.882323"/>
          <c:h val="0.810337"/>
        </c:manualLayout>
      </c:layout>
      <c:lineChart>
        <c:grouping val="standard"/>
        <c:varyColors val="0"/>
        <c:ser>
          <c:idx val="0"/>
          <c:order val="0"/>
          <c:tx>
            <c:strRef>
              <c:f>'Zinsfussmethode'!$H$33</c:f>
              <c:strCache>
                <c:ptCount val="1"/>
                <c:pt idx="0">
                  <c:v>Baldwin 9,75</c:v>
                </c:pt>
              </c:strCache>
            </c:strRef>
          </c:tx>
          <c:spPr>
            <a:solidFill>
              <a:srgbClr val="FFFFFF"/>
            </a:solidFill>
            <a:ln w="50800" cap="flat">
              <a:solidFill>
                <a:schemeClr val="accent1">
                  <a:hueOff val="114395"/>
                  <a:lumOff val="-24975"/>
                </a:schemeClr>
              </a:solidFill>
              <a:prstDash val="solid"/>
              <a:miter lim="400000"/>
            </a:ln>
            <a:effectLst/>
          </c:spPr>
          <c:marker>
            <c:symbol val="none"/>
            <c:size val="4"/>
            <c:spPr>
              <a:solidFill>
                <a:srgbClr val="FFFFFF"/>
              </a:solidFill>
              <a:ln w="50800" cap="flat">
                <a:solidFill>
                  <a:schemeClr val="accent1"/>
                </a:solidFill>
                <a:prstDash val="solid"/>
                <a:miter lim="400000"/>
              </a:ln>
              <a:effectLst/>
            </c:spPr>
          </c:marker>
          <c:dLbls>
            <c:numFmt formatCode="#,##0" sourceLinked="1"/>
            <c:txPr>
              <a:bodyPr/>
              <a:lstStyle/>
              <a:p>
                <a:pPr>
                  <a:defRPr b="0" i="0" strike="noStrike" sz="1200" u="none">
                    <a:solidFill>
                      <a:srgbClr val="000000"/>
                    </a:solidFill>
                    <a:latin typeface="Helvetica Neue"/>
                  </a:defRPr>
                </a:pPr>
              </a:p>
            </c:txPr>
            <c:dLblPos val="b"/>
            <c:showLegendKey val="0"/>
            <c:showVal val="0"/>
            <c:showCatName val="0"/>
            <c:showSerName val="0"/>
            <c:showPercent val="0"/>
            <c:showBubbleSize val="0"/>
            <c:showLeaderLines val="0"/>
          </c:dLbls>
          <c:cat>
            <c:strRef>
              <c:f>'Zinsfussmethode'!$G$34:$G$39</c:f>
              <c:strCache>
                <c:ptCount val="6"/>
                <c:pt idx="0">
                  <c:v>1 %</c:v>
                </c:pt>
                <c:pt idx="1">
                  <c:v>2 %</c:v>
                </c:pt>
                <c:pt idx="2">
                  <c:v>3 %</c:v>
                </c:pt>
                <c:pt idx="3">
                  <c:v>4 %</c:v>
                </c:pt>
                <c:pt idx="4">
                  <c:v>5 %</c:v>
                </c:pt>
                <c:pt idx="5">
                  <c:v>6 %</c:v>
                </c:pt>
              </c:strCache>
            </c:strRef>
          </c:cat>
          <c:val>
            <c:numRef>
              <c:f>'Zinsfussmethode'!$H$34:$H$39</c:f>
              <c:numCache>
                <c:ptCount val="6"/>
                <c:pt idx="0">
                  <c:v>0.046498</c:v>
                </c:pt>
                <c:pt idx="1">
                  <c:v>0.046209</c:v>
                </c:pt>
                <c:pt idx="2">
                  <c:v>0.046525</c:v>
                </c:pt>
                <c:pt idx="3">
                  <c:v>0.047427</c:v>
                </c:pt>
                <c:pt idx="4">
                  <c:v>0.048889</c:v>
                </c:pt>
                <c:pt idx="5">
                  <c:v>0.050881</c:v>
                </c:pt>
              </c:numCache>
            </c:numRef>
          </c:val>
          <c:smooth val="0"/>
        </c:ser>
        <c:ser>
          <c:idx val="1"/>
          <c:order val="1"/>
          <c:tx>
            <c:strRef>
              <c:f>'Zinsfussmethode'!$I$33</c:f>
              <c:strCache>
                <c:ptCount val="1"/>
                <c:pt idx="0">
                  <c:v>IRR 9,75</c:v>
                </c:pt>
              </c:strCache>
            </c:strRef>
          </c:tx>
          <c:spPr>
            <a:solidFill>
              <a:srgbClr val="FFFFFF"/>
            </a:solidFill>
            <a:ln w="50800" cap="flat">
              <a:solidFill>
                <a:schemeClr val="accent1">
                  <a:lumOff val="16847"/>
                </a:schemeClr>
              </a:solidFill>
              <a:prstDash val="solid"/>
              <a:miter lim="400000"/>
            </a:ln>
            <a:effectLst/>
          </c:spPr>
          <c:marker>
            <c:symbol val="none"/>
            <c:size val="4"/>
            <c:spPr>
              <a:solidFill>
                <a:srgbClr val="FFFFFF"/>
              </a:solidFill>
              <a:ln w="50800" cap="flat">
                <a:solidFill>
                  <a:schemeClr val="accent3"/>
                </a:solidFill>
                <a:prstDash val="solid"/>
                <a:miter lim="400000"/>
              </a:ln>
              <a:effectLst/>
            </c:spPr>
          </c:marker>
          <c:dLbls>
            <c:numFmt formatCode="#,##0" sourceLinked="1"/>
            <c:txPr>
              <a:bodyPr/>
              <a:lstStyle/>
              <a:p>
                <a:pPr>
                  <a:defRPr b="0" i="0" strike="noStrike" sz="1200" u="none">
                    <a:solidFill>
                      <a:srgbClr val="000000"/>
                    </a:solidFill>
                    <a:latin typeface="Helvetica Neue"/>
                  </a:defRPr>
                </a:pPr>
              </a:p>
            </c:txPr>
            <c:dLblPos val="b"/>
            <c:showLegendKey val="0"/>
            <c:showVal val="0"/>
            <c:showCatName val="0"/>
            <c:showSerName val="0"/>
            <c:showPercent val="0"/>
            <c:showBubbleSize val="0"/>
            <c:showLeaderLines val="0"/>
          </c:dLbls>
          <c:cat>
            <c:strRef>
              <c:f>'Zinsfussmethode'!$G$34:$G$39</c:f>
              <c:strCache>
                <c:ptCount val="6"/>
                <c:pt idx="0">
                  <c:v>1 %</c:v>
                </c:pt>
                <c:pt idx="1">
                  <c:v>2 %</c:v>
                </c:pt>
                <c:pt idx="2">
                  <c:v>3 %</c:v>
                </c:pt>
                <c:pt idx="3">
                  <c:v>4 %</c:v>
                </c:pt>
                <c:pt idx="4">
                  <c:v>5 %</c:v>
                </c:pt>
                <c:pt idx="5">
                  <c:v>6 %</c:v>
                </c:pt>
              </c:strCache>
            </c:strRef>
          </c:cat>
          <c:val>
            <c:numRef>
              <c:f>'Zinsfussmethode'!$I$34:$I$39</c:f>
              <c:numCache>
                <c:ptCount val="6"/>
                <c:pt idx="0">
                  <c:v>0.100726</c:v>
                </c:pt>
                <c:pt idx="1">
                  <c:v>0.089844</c:v>
                </c:pt>
                <c:pt idx="2">
                  <c:v>0.079048</c:v>
                </c:pt>
                <c:pt idx="3">
                  <c:v>0.068335</c:v>
                </c:pt>
                <c:pt idx="4">
                  <c:v>0.057703</c:v>
                </c:pt>
                <c:pt idx="5">
                  <c:v>0.047151</c:v>
                </c:pt>
              </c:numCache>
            </c:numRef>
          </c:val>
          <c:smooth val="0"/>
        </c:ser>
        <c:ser>
          <c:idx val="2"/>
          <c:order val="2"/>
          <c:tx>
            <c:strRef>
              <c:f>'Zinsfussmethode'!$J$33</c:f>
              <c:strCache>
                <c:ptCount val="1"/>
                <c:pt idx="0">
                  <c:v>Baldwin 12,8</c:v>
                </c:pt>
              </c:strCache>
            </c:strRef>
          </c:tx>
          <c:spPr>
            <a:solidFill>
              <a:srgbClr val="FFFFFF"/>
            </a:solidFill>
            <a:ln w="50800" cap="flat">
              <a:solidFill>
                <a:schemeClr val="accent5">
                  <a:lumOff val="-29866"/>
                </a:schemeClr>
              </a:solidFill>
              <a:prstDash val="solid"/>
              <a:miter lim="400000"/>
            </a:ln>
            <a:effectLst/>
          </c:spPr>
          <c:marker>
            <c:symbol val="none"/>
            <c:size val="4"/>
            <c:spPr>
              <a:solidFill>
                <a:srgbClr val="FFFFFF"/>
              </a:solidFill>
              <a:ln w="50800" cap="flat">
                <a:solidFill>
                  <a:srgbClr val="929292"/>
                </a:solidFill>
                <a:prstDash val="solid"/>
                <a:miter lim="400000"/>
              </a:ln>
              <a:effectLst/>
            </c:spPr>
          </c:marker>
          <c:dLbls>
            <c:numFmt formatCode="#,##0" sourceLinked="1"/>
            <c:txPr>
              <a:bodyPr/>
              <a:lstStyle/>
              <a:p>
                <a:pPr>
                  <a:defRPr b="0" i="0" strike="noStrike" sz="1200" u="none">
                    <a:solidFill>
                      <a:srgbClr val="000000"/>
                    </a:solidFill>
                    <a:latin typeface="Helvetica Neue"/>
                  </a:defRPr>
                </a:pPr>
              </a:p>
            </c:txPr>
            <c:dLblPos val="b"/>
            <c:showLegendKey val="0"/>
            <c:showVal val="0"/>
            <c:showCatName val="0"/>
            <c:showSerName val="0"/>
            <c:showPercent val="0"/>
            <c:showBubbleSize val="0"/>
            <c:showLeaderLines val="0"/>
          </c:dLbls>
          <c:cat>
            <c:strRef>
              <c:f>'Zinsfussmethode'!$G$34:$G$39</c:f>
              <c:strCache>
                <c:ptCount val="6"/>
                <c:pt idx="0">
                  <c:v>1 %</c:v>
                </c:pt>
                <c:pt idx="1">
                  <c:v>2 %</c:v>
                </c:pt>
                <c:pt idx="2">
                  <c:v>3 %</c:v>
                </c:pt>
                <c:pt idx="3">
                  <c:v>4 %</c:v>
                </c:pt>
                <c:pt idx="4">
                  <c:v>5 %</c:v>
                </c:pt>
                <c:pt idx="5">
                  <c:v>6 %</c:v>
                </c:pt>
              </c:strCache>
            </c:strRef>
          </c:cat>
          <c:val>
            <c:numRef>
              <c:f>'Zinsfussmethode'!$J$34:$J$39</c:f>
              <c:numCache>
                <c:ptCount val="6"/>
                <c:pt idx="0">
                  <c:v>0.038907</c:v>
                </c:pt>
                <c:pt idx="1">
                  <c:v>0.038715</c:v>
                </c:pt>
                <c:pt idx="2">
                  <c:v>0.039129</c:v>
                </c:pt>
                <c:pt idx="3">
                  <c:v>0.040128</c:v>
                </c:pt>
                <c:pt idx="4">
                  <c:v>0.041684</c:v>
                </c:pt>
                <c:pt idx="5">
                  <c:v>0.043764</c:v>
                </c:pt>
              </c:numCache>
            </c:numRef>
          </c:val>
          <c:smooth val="0"/>
        </c:ser>
        <c:ser>
          <c:idx val="3"/>
          <c:order val="3"/>
          <c:tx>
            <c:strRef>
              <c:f>'Zinsfussmethode'!$K$33</c:f>
              <c:strCache>
                <c:ptCount val="1"/>
                <c:pt idx="0">
                  <c:v>IRR 12,8</c:v>
                </c:pt>
              </c:strCache>
            </c:strRef>
          </c:tx>
          <c:spPr>
            <a:solidFill>
              <a:srgbClr val="FFFFFF"/>
            </a:solidFill>
            <a:ln w="50800" cap="flat">
              <a:solidFill>
                <a:schemeClr val="accent4">
                  <a:hueOff val="-1247790"/>
                  <a:lumOff val="-12326"/>
                </a:schemeClr>
              </a:solidFill>
              <a:prstDash val="solid"/>
              <a:miter lim="400000"/>
            </a:ln>
            <a:effectLst/>
          </c:spPr>
          <c:marker>
            <c:symbol val="none"/>
            <c:size val="4"/>
            <c:spPr>
              <a:solidFill>
                <a:srgbClr val="FFFFFF"/>
              </a:solidFill>
              <a:ln w="50800" cap="flat">
                <a:solidFill>
                  <a:srgbClr val="F8BA00"/>
                </a:solidFill>
                <a:prstDash val="solid"/>
                <a:miter lim="400000"/>
              </a:ln>
              <a:effectLst/>
            </c:spPr>
          </c:marker>
          <c:dLbls>
            <c:numFmt formatCode="#,##0" sourceLinked="1"/>
            <c:txPr>
              <a:bodyPr/>
              <a:lstStyle/>
              <a:p>
                <a:pPr>
                  <a:defRPr b="0" i="0" strike="noStrike" sz="1200" u="none">
                    <a:solidFill>
                      <a:srgbClr val="000000"/>
                    </a:solidFill>
                    <a:latin typeface="Helvetica Neue"/>
                  </a:defRPr>
                </a:pPr>
              </a:p>
            </c:txPr>
            <c:dLblPos val="b"/>
            <c:showLegendKey val="0"/>
            <c:showVal val="0"/>
            <c:showCatName val="0"/>
            <c:showSerName val="0"/>
            <c:showPercent val="0"/>
            <c:showBubbleSize val="0"/>
            <c:showLeaderLines val="0"/>
          </c:dLbls>
          <c:cat>
            <c:strRef>
              <c:f>'Zinsfussmethode'!$G$34:$G$39</c:f>
              <c:strCache>
                <c:ptCount val="6"/>
                <c:pt idx="0">
                  <c:v>1 %</c:v>
                </c:pt>
                <c:pt idx="1">
                  <c:v>2 %</c:v>
                </c:pt>
                <c:pt idx="2">
                  <c:v>3 %</c:v>
                </c:pt>
                <c:pt idx="3">
                  <c:v>4 %</c:v>
                </c:pt>
                <c:pt idx="4">
                  <c:v>5 %</c:v>
                </c:pt>
                <c:pt idx="5">
                  <c:v>6 %</c:v>
                </c:pt>
              </c:strCache>
            </c:strRef>
          </c:cat>
          <c:val>
            <c:numRef>
              <c:f>'Zinsfussmethode'!$K$34:$K$39</c:f>
              <c:numCache>
                <c:ptCount val="6"/>
                <c:pt idx="0">
                  <c:v>0.079891</c:v>
                </c:pt>
                <c:pt idx="1">
                  <c:v>0.069234</c:v>
                </c:pt>
                <c:pt idx="2">
                  <c:v>0.058675</c:v>
                </c:pt>
                <c:pt idx="3">
                  <c:v>0.048210</c:v>
                </c:pt>
                <c:pt idx="4">
                  <c:v>0.037837</c:v>
                </c:pt>
                <c:pt idx="5">
                  <c:v>0.027554</c:v>
                </c:pt>
              </c:numCache>
            </c:numRef>
          </c:val>
          <c:smooth val="0"/>
        </c:ser>
        <c:marker val="1"/>
        <c:axId val="2094734552"/>
        <c:axId val="2094734553"/>
      </c:lineChart>
      <c:catAx>
        <c:axId val="2094734552"/>
        <c:scaling>
          <c:orientation val="minMax"/>
        </c:scaling>
        <c:delete val="0"/>
        <c:axPos val="b"/>
        <c:numFmt formatCode="General" sourceLinked="1"/>
        <c:majorTickMark val="none"/>
        <c:minorTickMark val="none"/>
        <c:tickLblPos val="low"/>
        <c:spPr>
          <a:ln w="12700" cap="flat">
            <a:solidFill>
              <a:srgbClr val="000000"/>
            </a:solidFill>
            <a:prstDash val="solid"/>
            <a:miter lim="400000"/>
          </a:ln>
        </c:spPr>
        <c:txPr>
          <a:bodyPr rot="0"/>
          <a:lstStyle/>
          <a:p>
            <a:pPr>
              <a:defRPr b="0" i="0" strike="noStrike" sz="1000" u="none">
                <a:solidFill>
                  <a:srgbClr val="000000"/>
                </a:solidFill>
                <a:latin typeface="Helvetica Neue"/>
              </a:defRPr>
            </a:pPr>
          </a:p>
        </c:txPr>
        <c:crossAx val="2094734553"/>
        <c:crosses val="autoZero"/>
        <c:auto val="1"/>
        <c:lblAlgn val="ctr"/>
        <c:noMultiLvlLbl val="1"/>
      </c:catAx>
      <c:valAx>
        <c:axId val="2094734553"/>
        <c:scaling>
          <c:orientation val="minMax"/>
        </c:scaling>
        <c:delete val="0"/>
        <c:axPos val="l"/>
        <c:majorGridlines>
          <c:spPr>
            <a:ln w="6350" cap="flat">
              <a:solidFill>
                <a:srgbClr val="B8B8B8"/>
              </a:solidFill>
              <a:prstDash val="solid"/>
              <a:miter lim="400000"/>
            </a:ln>
          </c:spPr>
        </c:majorGridlines>
        <c:numFmt formatCode="General" sourceLinked="1"/>
        <c:majorTickMark val="none"/>
        <c:minorTickMark val="none"/>
        <c:tickLblPos val="nextTo"/>
        <c:spPr>
          <a:ln w="12700" cap="flat">
            <a:noFill/>
            <a:prstDash val="solid"/>
            <a:miter lim="400000"/>
          </a:ln>
        </c:spPr>
        <c:txPr>
          <a:bodyPr rot="0"/>
          <a:lstStyle/>
          <a:p>
            <a:pPr>
              <a:defRPr b="0" i="0" strike="noStrike" sz="1000" u="none">
                <a:solidFill>
                  <a:srgbClr val="000000"/>
                </a:solidFill>
                <a:latin typeface="Helvetica Neue"/>
              </a:defRPr>
            </a:pPr>
          </a:p>
        </c:txPr>
        <c:crossAx val="2094734552"/>
        <c:crosses val="autoZero"/>
        <c:crossBetween val="midCat"/>
        <c:majorUnit val="0.0275"/>
        <c:minorUnit val="0.01375"/>
      </c:valAx>
      <c:spPr>
        <a:noFill/>
        <a:ln w="12700" cap="flat">
          <a:noFill/>
          <a:miter lim="400000"/>
        </a:ln>
        <a:effectLst/>
      </c:spPr>
    </c:plotArea>
    <c:legend>
      <c:legendPos val="t"/>
      <c:layout>
        <c:manualLayout>
          <c:xMode val="edge"/>
          <c:yMode val="edge"/>
          <c:x val="0.0744313"/>
          <c:y val="0"/>
          <c:w val="0.9"/>
          <c:h val="0.0640667"/>
        </c:manualLayout>
      </c:layout>
      <c:overlay val="1"/>
      <c:spPr>
        <a:noFill/>
        <a:ln w="12700" cap="flat">
          <a:noFill/>
          <a:miter lim="400000"/>
        </a:ln>
        <a:effectLst/>
      </c:spPr>
      <c:txPr>
        <a:bodyPr rot="0"/>
        <a:lstStyle/>
        <a:p>
          <a:pPr>
            <a:defRPr b="0" i="0" strike="noStrike" sz="1000" u="none">
              <a:solidFill>
                <a:srgbClr val="000000"/>
              </a:solidFill>
              <a:latin typeface="Helvetica Neue"/>
            </a:defRPr>
          </a:pPr>
        </a:p>
      </c:txPr>
    </c:legend>
    <c:plotVisOnly val="1"/>
    <c:dispBlanksAs val="gap"/>
  </c:chart>
  <c:spPr>
    <a:noFill/>
    <a:ln>
      <a:noFill/>
    </a:ln>
    <a:effectLst/>
  </c:spPr>
</c:chartSpace>
</file>

<file path=xl/drawings/_rels/drawing1.xml.rels><?xml version="1.0" encoding="UTF-8"?>
<Relationships xmlns="http://schemas.openxmlformats.org/package/2006/relationships"><Relationship Id="rId1" Type="http://schemas.openxmlformats.org/officeDocument/2006/relationships/chart" Target="../charts/chart1.xml"/></Relationships>

</file>

<file path=xl/drawings/_rels/drawing3.xml.rels><?xml version="1.0" encoding="UTF-8"?>
<Relationships xmlns="http://schemas.openxmlformats.org/package/2006/relationships"><Relationship Id="rId1" Type="http://schemas.openxmlformats.org/officeDocument/2006/relationships/chart" Target="../charts/chart2.xml"/></Relationships>

</file>

<file path=xl/drawings/drawing1.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0</xdr:col>
      <xdr:colOff>91439</xdr:colOff>
      <xdr:row>14</xdr:row>
      <xdr:rowOff>155955</xdr:rowOff>
    </xdr:from>
    <xdr:to>
      <xdr:col>3</xdr:col>
      <xdr:colOff>1077129</xdr:colOff>
      <xdr:row>38</xdr:row>
      <xdr:rowOff>239219</xdr:rowOff>
    </xdr:to>
    <xdr:graphicFrame>
      <xdr:nvGraphicFramePr>
        <xdr:cNvPr id="2" name="2D-Säulendiagramm"/>
        <xdr:cNvGraphicFramePr/>
      </xdr:nvGraphicFramePr>
      <xdr:xfrm>
        <a:off x="91439" y="3820540"/>
        <a:ext cx="5875191" cy="6148785"/>
      </xdr:xfrm>
      <a:graphic xmlns:a="http://schemas.openxmlformats.org/drawingml/2006/main">
        <a:graphicData uri="http://schemas.openxmlformats.org/drawingml/2006/chart">
          <c:chart xmlns:c="http://schemas.openxmlformats.org/drawingml/2006/chart" r:id="rId1"/>
        </a:graphicData>
      </a:graphic>
    </xdr:graphicFrame>
    <xdr:clientData/>
  </xdr:twoCellAnchor>
</xdr:wsDr>
</file>

<file path=xl/drawings/drawing2.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0</xdr:col>
      <xdr:colOff>0</xdr:colOff>
      <xdr:row>132</xdr:row>
      <xdr:rowOff>192493</xdr:rowOff>
    </xdr:from>
    <xdr:to>
      <xdr:col>3</xdr:col>
      <xdr:colOff>42110</xdr:colOff>
      <xdr:row>134</xdr:row>
      <xdr:rowOff>150121</xdr:rowOff>
    </xdr:to>
    <xdr:sp>
      <xdr:nvSpPr>
        <xdr:cNvPr id="4" name="Text"/>
        <xdr:cNvSpPr txBox="1"/>
      </xdr:nvSpPr>
      <xdr:spPr>
        <a:xfrm>
          <a:off x="-23575" y="33905913"/>
          <a:ext cx="4029911" cy="463089"/>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none" lIns="50800" tIns="50800" rIns="50800" bIns="50800" numCol="1" anchor="t">
          <a:spAutoFit/>
        </a:bodyPr>
        <a:lstStyle/>
        <a:p>
          <a:pPr marL="0" marR="0" indent="0" algn="l" defTabSz="457200" latinLnBrk="0">
            <a:lnSpc>
              <a:spcPct val="100000"/>
            </a:lnSpc>
            <a:spcBef>
              <a:spcPts val="0"/>
            </a:spcBef>
            <a:spcAft>
              <a:spcPts val="0"/>
            </a:spcAft>
            <a:buClrTx/>
            <a:buSzTx/>
            <a:buFontTx/>
            <a:buNone/>
            <a:defRPr b="0" baseline="0" cap="none" i="0" spc="0" strike="noStrike" sz="1600" u="none">
              <a:solidFill>
                <a:srgbClr val="000000"/>
              </a:solidFill>
              <a:uFillTx/>
              <a:latin typeface="+mn-lt"/>
              <a:ea typeface="+mn-ea"/>
              <a:cs typeface="+mn-cs"/>
              <a:sym typeface="Helvetica Neue"/>
            </a:defRPr>
          </a:pPr>
          <a14:m>
            <m:oMathPara>
              <m:oMathParaPr>
                <m:jc m:val="left"/>
              </m:oMathParaPr>
              <m:oMath>
                <m:sSub>
                  <m:e>
                    <m:r>
                      <a:rPr xmlns:a="http://schemas.openxmlformats.org/drawingml/2006/main" sz="1900" i="1">
                        <a:solidFill>
                          <a:srgbClr val="000000"/>
                        </a:solidFill>
                        <a:latin typeface="Cambria Math" panose="02040503050406030204" pitchFamily="18" charset="0"/>
                      </a:rPr>
                      <m:t>B</m:t>
                    </m:r>
                  </m:e>
                  <m:sub>
                    <m:r>
                      <a:rPr xmlns:a="http://schemas.openxmlformats.org/drawingml/2006/main" sz="1900" i="1">
                        <a:solidFill>
                          <a:srgbClr val="000000"/>
                        </a:solidFill>
                        <a:latin typeface="Cambria Math" panose="02040503050406030204" pitchFamily="18" charset="0"/>
                      </a:rPr>
                      <m:t>N</m:t>
                    </m:r>
                  </m:sub>
                </m:sSub>
                <m:r>
                  <a:rPr xmlns:a="http://schemas.openxmlformats.org/drawingml/2006/main" sz="1900" i="1">
                    <a:solidFill>
                      <a:srgbClr val="000000"/>
                    </a:solidFill>
                    <a:latin typeface="Cambria Math" panose="02040503050406030204" pitchFamily="18" charset="0"/>
                  </a:rPr>
                  <m:t>+</m:t>
                </m:r>
                <m:sSub>
                  <m:e>
                    <m:r>
                      <a:rPr xmlns:a="http://schemas.openxmlformats.org/drawingml/2006/main" sz="1900" i="1">
                        <a:solidFill>
                          <a:srgbClr val="000000"/>
                        </a:solidFill>
                        <a:latin typeface="Cambria Math" panose="02040503050406030204" pitchFamily="18" charset="0"/>
                      </a:rPr>
                      <m:t>B</m:t>
                    </m:r>
                  </m:e>
                  <m:sub>
                    <m:r>
                      <a:rPr xmlns:a="http://schemas.openxmlformats.org/drawingml/2006/main" sz="1900" i="1">
                        <a:solidFill>
                          <a:srgbClr val="000000"/>
                        </a:solidFill>
                        <a:latin typeface="Cambria Math" panose="02040503050406030204" pitchFamily="18" charset="0"/>
                      </a:rPr>
                      <m:t>N</m:t>
                    </m:r>
                  </m:sub>
                </m:sSub>
                <m:r>
                  <a:rPr xmlns:a="http://schemas.openxmlformats.org/drawingml/2006/main" sz="1900" i="1">
                    <a:solidFill>
                      <a:srgbClr val="000000"/>
                    </a:solidFill>
                    <a:latin typeface="Cambria Math" panose="02040503050406030204" pitchFamily="18" charset="0"/>
                  </a:rPr>
                  <m:t>⋅</m:t>
                </m:r>
                <m:sSup>
                  <m:e>
                    <m:r>
                      <a:rPr xmlns:a="http://schemas.openxmlformats.org/drawingml/2006/main" sz="1900" i="1">
                        <a:solidFill>
                          <a:srgbClr val="000000"/>
                        </a:solidFill>
                        <a:latin typeface="Cambria Math" panose="02040503050406030204" pitchFamily="18" charset="0"/>
                      </a:rPr>
                      <m:t>r</m:t>
                    </m:r>
                  </m:e>
                  <m:sup>
                    <m:r>
                      <a:rPr xmlns:a="http://schemas.openxmlformats.org/drawingml/2006/main" sz="1900" i="1">
                        <a:solidFill>
                          <a:srgbClr val="000000"/>
                        </a:solidFill>
                        <a:latin typeface="Cambria Math" panose="02040503050406030204" pitchFamily="18" charset="0"/>
                      </a:rPr>
                      <m:t>t</m:t>
                    </m:r>
                  </m:sup>
                </m:sSup>
                <m:r>
                  <a:rPr xmlns:a="http://schemas.openxmlformats.org/drawingml/2006/main" sz="1900" i="1">
                    <a:solidFill>
                      <a:srgbClr val="000000"/>
                    </a:solidFill>
                    <a:latin typeface="Cambria Math" panose="02040503050406030204" pitchFamily="18" charset="0"/>
                  </a:rPr>
                  <m:t>-</m:t>
                </m:r>
                <m:sSub>
                  <m:e>
                    <m:r>
                      <a:rPr xmlns:a="http://schemas.openxmlformats.org/drawingml/2006/main" sz="1900" i="1">
                        <a:solidFill>
                          <a:srgbClr val="000000"/>
                        </a:solidFill>
                        <a:latin typeface="Cambria Math" panose="02040503050406030204" pitchFamily="18" charset="0"/>
                      </a:rPr>
                      <m:t>B</m:t>
                    </m:r>
                  </m:e>
                  <m:sub>
                    <m:r>
                      <a:rPr xmlns:a="http://schemas.openxmlformats.org/drawingml/2006/main" sz="1900" i="1">
                        <a:solidFill>
                          <a:srgbClr val="000000"/>
                        </a:solidFill>
                        <a:latin typeface="Cambria Math" panose="02040503050406030204" pitchFamily="18" charset="0"/>
                      </a:rPr>
                      <m:t>n</m:t>
                    </m:r>
                  </m:sub>
                </m:sSub>
                <m:r>
                  <a:rPr xmlns:a="http://schemas.openxmlformats.org/drawingml/2006/main" sz="1900" i="1">
                    <a:solidFill>
                      <a:srgbClr val="000000"/>
                    </a:solidFill>
                    <a:latin typeface="Cambria Math" panose="02040503050406030204" pitchFamily="18" charset="0"/>
                  </a:rPr>
                  <m:t>⋅</m:t>
                </m:r>
                <m:sSup>
                  <m:e>
                    <m:r>
                      <a:rPr xmlns:a="http://schemas.openxmlformats.org/drawingml/2006/main" sz="1900" i="1">
                        <a:solidFill>
                          <a:srgbClr val="000000"/>
                        </a:solidFill>
                        <a:latin typeface="Cambria Math" panose="02040503050406030204" pitchFamily="18" charset="0"/>
                      </a:rPr>
                      <m:t>q</m:t>
                    </m:r>
                  </m:e>
                  <m:sup>
                    <m:r>
                      <a:rPr xmlns:a="http://schemas.openxmlformats.org/drawingml/2006/main" sz="1900" i="1">
                        <a:solidFill>
                          <a:srgbClr val="000000"/>
                        </a:solidFill>
                        <a:latin typeface="Cambria Math" panose="02040503050406030204" pitchFamily="18" charset="0"/>
                      </a:rPr>
                      <m:t>t</m:t>
                    </m:r>
                  </m:sup>
                </m:sSup>
                <m:r>
                  <a:rPr xmlns:a="http://schemas.openxmlformats.org/drawingml/2006/main" sz="1900" i="1">
                    <a:solidFill>
                      <a:srgbClr val="000000"/>
                    </a:solidFill>
                    <a:latin typeface="Cambria Math" panose="02040503050406030204" pitchFamily="18" charset="0"/>
                  </a:rPr>
                  <m:t>=</m:t>
                </m:r>
                <m:sSub>
                  <m:e>
                    <m:r>
                      <a:rPr xmlns:a="http://schemas.openxmlformats.org/drawingml/2006/main" sz="1900" i="1">
                        <a:solidFill>
                          <a:srgbClr val="000000"/>
                        </a:solidFill>
                        <a:latin typeface="Cambria Math" panose="02040503050406030204" pitchFamily="18" charset="0"/>
                      </a:rPr>
                      <m:t>B</m:t>
                    </m:r>
                  </m:e>
                  <m:sub>
                    <m:r>
                      <a:rPr xmlns:a="http://schemas.openxmlformats.org/drawingml/2006/main" sz="1900" i="1">
                        <a:solidFill>
                          <a:srgbClr val="000000"/>
                        </a:solidFill>
                        <a:latin typeface="Cambria Math" panose="02040503050406030204" pitchFamily="18" charset="0"/>
                      </a:rPr>
                      <m:t>N</m:t>
                    </m:r>
                  </m:sub>
                </m:sSub>
                <m:r>
                  <a:rPr xmlns:a="http://schemas.openxmlformats.org/drawingml/2006/main" sz="1900" i="1">
                    <a:solidFill>
                      <a:srgbClr val="000000"/>
                    </a:solidFill>
                    <a:latin typeface="Cambria Math" panose="02040503050406030204" pitchFamily="18" charset="0"/>
                  </a:rPr>
                  <m:t>⋅</m:t>
                </m:r>
                <m:r>
                  <a:rPr xmlns:a="http://schemas.openxmlformats.org/drawingml/2006/main" sz="1900" i="1">
                    <a:solidFill>
                      <a:srgbClr val="000000"/>
                    </a:solidFill>
                    <a:latin typeface="Cambria Math" panose="02040503050406030204" pitchFamily="18" charset="0"/>
                  </a:rPr>
                  <m:t>(</m:t>
                </m:r>
                <m:r>
                  <a:rPr xmlns:a="http://schemas.openxmlformats.org/drawingml/2006/main" sz="1900" i="1">
                    <a:solidFill>
                      <a:srgbClr val="000000"/>
                    </a:solidFill>
                    <a:latin typeface="Cambria Math" panose="02040503050406030204" pitchFamily="18" charset="0"/>
                  </a:rPr>
                  <m:t>1</m:t>
                </m:r>
                <m:r>
                  <a:rPr xmlns:a="http://schemas.openxmlformats.org/drawingml/2006/main" sz="1900" i="1">
                    <a:solidFill>
                      <a:srgbClr val="000000"/>
                    </a:solidFill>
                    <a:latin typeface="Cambria Math" panose="02040503050406030204" pitchFamily="18" charset="0"/>
                  </a:rPr>
                  <m:t>+</m:t>
                </m:r>
                <m:r>
                  <a:rPr xmlns:a="http://schemas.openxmlformats.org/drawingml/2006/main" sz="1900" i="1">
                    <a:solidFill>
                      <a:srgbClr val="000000"/>
                    </a:solidFill>
                    <a:latin typeface="Cambria Math" panose="02040503050406030204" pitchFamily="18" charset="0"/>
                  </a:rPr>
                  <m:t>r</m:t>
                </m:r>
                <m:r>
                  <a:rPr xmlns:a="http://schemas.openxmlformats.org/drawingml/2006/main" sz="1900" i="1">
                    <a:solidFill>
                      <a:srgbClr val="000000"/>
                    </a:solidFill>
                    <a:latin typeface="Cambria Math" panose="02040503050406030204" pitchFamily="18" charset="0"/>
                  </a:rPr>
                  <m:t>-</m:t>
                </m:r>
                <m:r>
                  <a:rPr xmlns:a="http://schemas.openxmlformats.org/drawingml/2006/main" sz="1900" i="1">
                    <a:solidFill>
                      <a:srgbClr val="000000"/>
                    </a:solidFill>
                    <a:latin typeface="Cambria Math" panose="02040503050406030204" pitchFamily="18" charset="0"/>
                  </a:rPr>
                  <m:t>q</m:t>
                </m:r>
                <m:sSup>
                  <m:e>
                    <m:r>
                      <a:rPr xmlns:a="http://schemas.openxmlformats.org/drawingml/2006/main" sz="1900" i="1">
                        <a:solidFill>
                          <a:srgbClr val="000000"/>
                        </a:solidFill>
                        <a:latin typeface="Cambria Math" panose="02040503050406030204" pitchFamily="18" charset="0"/>
                      </a:rPr>
                      <m:t>)</m:t>
                    </m:r>
                  </m:e>
                  <m:sup>
                    <m:r>
                      <a:rPr xmlns:a="http://schemas.openxmlformats.org/drawingml/2006/main" sz="1900" i="1">
                        <a:solidFill>
                          <a:srgbClr val="000000"/>
                        </a:solidFill>
                        <a:latin typeface="Cambria Math" panose="02040503050406030204" pitchFamily="18" charset="0"/>
                      </a:rPr>
                      <m:t>t</m:t>
                    </m:r>
                  </m:sup>
                </m:sSup>
              </m:oMath>
            </m:oMathPara>
          </a14:m>
          <a:endParaRPr sz="1600">
            <a:solidFill>
              <a:srgbClr val="000000"/>
            </a:solidFill>
          </a:endParaRPr>
        </a:p>
      </xdr:txBody>
    </xdr:sp>
    <xdr:clientData/>
  </xdr:twoCellAnchor>
</xdr:wsDr>
</file>

<file path=xl/drawings/drawing3.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0</xdr:col>
      <xdr:colOff>798943</xdr:colOff>
      <xdr:row>41</xdr:row>
      <xdr:rowOff>248215</xdr:rowOff>
    </xdr:from>
    <xdr:to>
      <xdr:col>5</xdr:col>
      <xdr:colOff>746595</xdr:colOff>
      <xdr:row>57</xdr:row>
      <xdr:rowOff>14535</xdr:rowOff>
    </xdr:to>
    <xdr:graphicFrame>
      <xdr:nvGraphicFramePr>
        <xdr:cNvPr id="6" name="2D-Liniendiagramm"/>
        <xdr:cNvGraphicFramePr/>
      </xdr:nvGraphicFramePr>
      <xdr:xfrm>
        <a:off x="798943" y="7473245"/>
        <a:ext cx="6399253" cy="3810001"/>
      </xdr:xfrm>
      <a:graphic xmlns:a="http://schemas.openxmlformats.org/drawingml/2006/main">
        <a:graphicData uri="http://schemas.openxmlformats.org/drawingml/2006/chart">
          <c:chart xmlns:c="http://schemas.openxmlformats.org/drawingml/2006/chart" r:id="rId1"/>
        </a:graphicData>
      </a:graphic>
    </xdr:graphicFrame>
    <xdr:clientData/>
  </xdr:twoCellAnchor>
  <xdr:twoCellAnchor>
    <xdr:from>
      <xdr:col>0</xdr:col>
      <xdr:colOff>0</xdr:colOff>
      <xdr:row>55</xdr:row>
      <xdr:rowOff>45015</xdr:rowOff>
    </xdr:from>
    <xdr:to>
      <xdr:col>5</xdr:col>
      <xdr:colOff>927893</xdr:colOff>
      <xdr:row>107</xdr:row>
      <xdr:rowOff>105975</xdr:rowOff>
    </xdr:to>
    <xdr:sp>
      <xdr:nvSpPr>
        <xdr:cNvPr id="7" name="Vergleich IRR und Baldwin…"/>
        <xdr:cNvSpPr txBox="1"/>
      </xdr:nvSpPr>
      <xdr:spPr>
        <a:xfrm>
          <a:off x="-19051" y="10808265"/>
          <a:ext cx="7379495" cy="13202921"/>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50800" tIns="50800" rIns="50800" bIns="50800" numCol="1" anchor="t">
          <a:spAutoFit/>
        </a:bodyPr>
        <a:lstStyle/>
        <a:p>
          <a:pPr marL="0" marR="0" indent="0" algn="l" defTabSz="457200" rtl="0" latinLnBrk="0">
            <a:lnSpc>
              <a:spcPct val="100000"/>
            </a:lnSpc>
            <a:spcBef>
              <a:spcPts val="1200"/>
            </a:spcBef>
            <a:spcAft>
              <a:spcPts val="0"/>
            </a:spcAft>
            <a:buClrTx/>
            <a:buSzTx/>
            <a:buFontTx/>
            <a:buNone/>
            <a:defRPr b="1" baseline="0" cap="none" i="0" spc="-24" strike="noStrike" sz="2400" u="none">
              <a:solidFill>
                <a:srgbClr val="000000"/>
              </a:solidFill>
              <a:uFillTx/>
              <a:latin typeface="+mn-lt"/>
              <a:ea typeface="+mn-ea"/>
              <a:cs typeface="+mn-cs"/>
              <a:sym typeface="Helvetica Neue"/>
            </a:defRPr>
          </a:pPr>
          <a:r>
            <a:rPr b="1" baseline="0" cap="none" i="0" spc="-24" strike="noStrike" sz="2400" u="none">
              <a:solidFill>
                <a:srgbClr val="000000"/>
              </a:solidFill>
              <a:uFillTx/>
              <a:latin typeface="+mn-lt"/>
              <a:ea typeface="+mn-ea"/>
              <a:cs typeface="+mn-cs"/>
              <a:sym typeface="Helvetica Neue"/>
            </a:rPr>
            <a:t>Vergleich IRR und Baldwin</a:t>
          </a:r>
          <a:r>
            <a:rPr b="1" baseline="0" cap="none" i="0" spc="-24" strike="noStrike" sz="2400" u="none">
              <a:solidFill>
                <a:srgbClr val="000000"/>
              </a:solidFill>
              <a:uFillTx/>
              <a:latin typeface="+mn-lt"/>
              <a:ea typeface="+mn-ea"/>
              <a:cs typeface="+mn-cs"/>
              <a:sym typeface="Helvetica Neue"/>
            </a:rPr>
            <a:t>	</a:t>
          </a:r>
          <a:endParaRPr b="1" baseline="0" cap="none" i="0" spc="-24" strike="noStrike" sz="2400" u="none">
            <a:solidFill>
              <a:srgbClr val="000000"/>
            </a:solidFill>
            <a:uFillTx/>
            <a:latin typeface="+mn-lt"/>
            <a:ea typeface="+mn-ea"/>
            <a:cs typeface="+mn-cs"/>
            <a:sym typeface="Helvetica Neue"/>
          </a:endParaRPr>
        </a:p>
        <a:p>
          <a:pPr marL="457200" marR="0" indent="-317500" algn="l" defTabSz="457200" rtl="0" latinLnBrk="0">
            <a:lnSpc>
              <a:spcPct val="100000"/>
            </a:lnSpc>
            <a:spcBef>
              <a:spcPts val="0"/>
            </a:spcBef>
            <a:spcAft>
              <a:spcPts val="0"/>
            </a:spcAft>
            <a:buClr>
              <a:srgbClr val="D1D5DB"/>
            </a:buClr>
            <a:buSzPct val="100000"/>
            <a:buFont typeface="Helvetica"/>
            <a:buChar char="•"/>
            <a:defRPr b="0" baseline="0" cap="none" i="0" spc="0" strike="noStrike" sz="1600" u="none">
              <a:solidFill>
                <a:srgbClr val="000000"/>
              </a:solidFill>
              <a:uFillTx/>
              <a:latin typeface="Helvetica"/>
              <a:ea typeface="Helvetica"/>
              <a:cs typeface="Helvetica"/>
              <a:sym typeface="Helvetica"/>
            </a:defRPr>
          </a:pPr>
          <a:r>
            <a:rPr b="1" baseline="0" cap="none" i="0" spc="0" strike="noStrike" sz="1600" u="none">
              <a:solidFill>
                <a:srgbClr val="000000"/>
              </a:solidFill>
              <a:uFillTx/>
              <a:latin typeface="Helvetica"/>
              <a:ea typeface="Helvetica"/>
              <a:cs typeface="Helvetica"/>
              <a:sym typeface="Helvetica"/>
            </a:rPr>
            <a:t>Gleiche Rentabilitätseinschätzungen</a:t>
          </a:r>
          <a:r>
            <a:rPr b="0" baseline="0" cap="none" i="0" spc="0" strike="noStrike" sz="1600" u="none">
              <a:solidFill>
                <a:srgbClr val="000000"/>
              </a:solidFill>
              <a:uFillTx/>
              <a:latin typeface="Helvetica"/>
              <a:ea typeface="Helvetica"/>
              <a:cs typeface="Helvetica"/>
              <a:sym typeface="Helvetica"/>
            </a:rPr>
            <a:t>: An diesem Punkt liefern der IRR und der Baldwin Zins die gleiche Rentabilitätseinschätzung für die betrachtete Investition.</a:t>
          </a:r>
          <a:endParaRPr b="0" baseline="0" cap="none" i="0" spc="0" strike="noStrike" sz="1600" u="none">
            <a:solidFill>
              <a:srgbClr val="000000"/>
            </a:solidFill>
            <a:uFillTx/>
            <a:latin typeface="Helvetica"/>
            <a:ea typeface="Helvetica"/>
            <a:cs typeface="Helvetica"/>
            <a:sym typeface="Helvetica"/>
          </a:endParaRPr>
        </a:p>
        <a:p>
          <a:pPr marL="457200" marR="0" indent="-317500" algn="l" defTabSz="457200" rtl="0" latinLnBrk="0">
            <a:lnSpc>
              <a:spcPct val="100000"/>
            </a:lnSpc>
            <a:spcBef>
              <a:spcPts val="0"/>
            </a:spcBef>
            <a:spcAft>
              <a:spcPts val="0"/>
            </a:spcAft>
            <a:buClr>
              <a:srgbClr val="D1D5DB"/>
            </a:buClr>
            <a:buSzPct val="100000"/>
            <a:buFont typeface="Helvetica"/>
            <a:buChar char="•"/>
            <a:defRPr b="0" baseline="0" cap="none" i="0" spc="0" strike="noStrike" sz="1600" u="none">
              <a:solidFill>
                <a:srgbClr val="000000"/>
              </a:solidFill>
              <a:uFillTx/>
              <a:latin typeface="Helvetica"/>
              <a:ea typeface="Helvetica"/>
              <a:cs typeface="Helvetica"/>
              <a:sym typeface="Helvetica"/>
            </a:defRPr>
          </a:pPr>
          <a:r>
            <a:rPr b="1" baseline="0" cap="none" i="0" spc="0" strike="noStrike" sz="1600" u="none">
              <a:solidFill>
                <a:srgbClr val="000000"/>
              </a:solidFill>
              <a:uFillTx/>
              <a:latin typeface="Helvetica"/>
              <a:ea typeface="Helvetica"/>
              <a:cs typeface="Helvetica"/>
              <a:sym typeface="Helvetica"/>
            </a:rPr>
            <a:t>	Wiederanlageprämissen</a:t>
          </a:r>
          <a:r>
            <a:rPr b="0" baseline="0" cap="none" i="0" spc="0" strike="noStrike" sz="1600" u="none">
              <a:solidFill>
                <a:srgbClr val="000000"/>
              </a:solidFill>
              <a:uFillTx/>
              <a:latin typeface="Helvetica"/>
              <a:ea typeface="Helvetica"/>
              <a:cs typeface="Helvetica"/>
              <a:sym typeface="Helvetica"/>
            </a:rPr>
            <a:t>: Der Schnittpunkt zeigt an, wo die Wiederanlageprämisse des IRR (Reinvestition zum IRR selbst) und die konservativere Annahme des Baldwin Zinses (Reinvestition zum Kalkulationszins) zu einem ähnlichen Ergebnis führen.</a:t>
          </a:r>
          <a:endParaRPr b="0" baseline="0" cap="none" i="0" spc="0" strike="noStrike" sz="1600" u="none">
            <a:solidFill>
              <a:srgbClr val="000000"/>
            </a:solidFill>
            <a:uFillTx/>
            <a:latin typeface="Helvetica"/>
            <a:ea typeface="Helvetica"/>
            <a:cs typeface="Helvetica"/>
            <a:sym typeface="Helvetica"/>
          </a:endParaRPr>
        </a:p>
        <a:p>
          <a:pPr marL="457200" marR="0" indent="-317500" algn="l" defTabSz="457200" rtl="0" latinLnBrk="0">
            <a:lnSpc>
              <a:spcPct val="100000"/>
            </a:lnSpc>
            <a:spcBef>
              <a:spcPts val="0"/>
            </a:spcBef>
            <a:spcAft>
              <a:spcPts val="0"/>
            </a:spcAft>
            <a:buClr>
              <a:srgbClr val="D1D5DB"/>
            </a:buClr>
            <a:buSzPct val="100000"/>
            <a:buFont typeface="Helvetica"/>
            <a:buChar char="•"/>
            <a:defRPr b="0" baseline="0" cap="none" i="0" spc="0" strike="noStrike" sz="1600" u="none">
              <a:solidFill>
                <a:srgbClr val="000000"/>
              </a:solidFill>
              <a:uFillTx/>
              <a:latin typeface="Helvetica"/>
              <a:ea typeface="Helvetica"/>
              <a:cs typeface="Helvetica"/>
              <a:sym typeface="Helvetica"/>
            </a:defRPr>
          </a:pPr>
          <a:r>
            <a:rPr b="1" baseline="0" cap="none" i="0" spc="0" strike="noStrike" sz="1600" u="none">
              <a:solidFill>
                <a:srgbClr val="000000"/>
              </a:solidFill>
              <a:uFillTx/>
              <a:latin typeface="Helvetica"/>
              <a:ea typeface="Helvetica"/>
              <a:cs typeface="Helvetica"/>
              <a:sym typeface="Helvetica"/>
            </a:rPr>
            <a:t>	Kritischer Kalkulationszins</a:t>
          </a:r>
          <a:r>
            <a:rPr b="0" baseline="0" cap="none" i="0" spc="0" strike="noStrike" sz="1600" u="none">
              <a:solidFill>
                <a:srgbClr val="000000"/>
              </a:solidFill>
              <a:uFillTx/>
              <a:latin typeface="Helvetica"/>
              <a:ea typeface="Helvetica"/>
              <a:cs typeface="Helvetica"/>
              <a:sym typeface="Helvetica"/>
            </a:rPr>
            <a:t>: Der Schnittpunkt bestimmt den kritischen Kalkulationszins, bei dem die Wahl der Methode zur Bewertung der Rentabilität einer Investition irrelevant wird, da beide Methoden zum gleichen Ergebnis führen.</a:t>
          </a:r>
          <a:endParaRPr b="0" baseline="0" cap="none" i="0" spc="0" strike="noStrike" sz="1600" u="none">
            <a:solidFill>
              <a:srgbClr val="000000"/>
            </a:solidFill>
            <a:uFillTx/>
            <a:latin typeface="Helvetica"/>
            <a:ea typeface="Helvetica"/>
            <a:cs typeface="Helvetica"/>
            <a:sym typeface="Helvetica"/>
          </a:endParaRPr>
        </a:p>
        <a:p>
          <a:pPr marL="457200" marR="0" indent="-317500" algn="l" defTabSz="457200" rtl="0" latinLnBrk="0">
            <a:lnSpc>
              <a:spcPct val="100000"/>
            </a:lnSpc>
            <a:spcBef>
              <a:spcPts val="0"/>
            </a:spcBef>
            <a:spcAft>
              <a:spcPts val="0"/>
            </a:spcAft>
            <a:buClr>
              <a:srgbClr val="D1D5DB"/>
            </a:buClr>
            <a:buSzPct val="100000"/>
            <a:buFont typeface="Helvetica"/>
            <a:buChar char="•"/>
            <a:defRPr b="0" baseline="0" cap="none" i="0" spc="0" strike="noStrike" sz="1600" u="none">
              <a:solidFill>
                <a:srgbClr val="000000"/>
              </a:solidFill>
              <a:uFillTx/>
              <a:latin typeface="Helvetica"/>
              <a:ea typeface="Helvetica"/>
              <a:cs typeface="Helvetica"/>
              <a:sym typeface="Helvetica"/>
            </a:defRPr>
          </a:pPr>
          <a:r>
            <a:rPr b="1" baseline="0" cap="none" i="0" spc="0" strike="noStrike" sz="1600" u="none">
              <a:solidFill>
                <a:srgbClr val="000000"/>
              </a:solidFill>
              <a:uFillTx/>
              <a:latin typeface="Helvetica"/>
              <a:ea typeface="Helvetica"/>
              <a:cs typeface="Helvetica"/>
              <a:sym typeface="Helvetica"/>
            </a:rPr>
            <a:t>	Investitionsentscheidung</a:t>
          </a:r>
          <a:r>
            <a:rPr b="0" baseline="0" cap="none" i="0" spc="0" strike="noStrike" sz="1600" u="none">
              <a:solidFill>
                <a:srgbClr val="000000"/>
              </a:solidFill>
              <a:uFillTx/>
              <a:latin typeface="Helvetica"/>
              <a:ea typeface="Helvetica"/>
              <a:cs typeface="Helvetica"/>
              <a:sym typeface="Helvetica"/>
            </a:rPr>
            <a:t>: An diesem Punkt könnten Investitionsentscheidungen unabhängig von der Präferenz für die eine oder andere Methode getroffen werden, da beide Methoden die gleiche Rendite signalisieren.</a:t>
          </a:r>
          <a:endParaRPr b="0" baseline="0" cap="none" i="0" spc="0" strike="noStrike" sz="1600" u="none">
            <a:solidFill>
              <a:srgbClr val="000000"/>
            </a:solidFill>
            <a:uFillTx/>
            <a:latin typeface="Helvetica"/>
            <a:ea typeface="Helvetica"/>
            <a:cs typeface="Helvetica"/>
            <a:sym typeface="Helvetica"/>
          </a:endParaRPr>
        </a:p>
        <a:p>
          <a:pPr marL="457200" marR="0" indent="-317500" algn="l" defTabSz="457200" rtl="0" latinLnBrk="0">
            <a:lnSpc>
              <a:spcPct val="100000"/>
            </a:lnSpc>
            <a:spcBef>
              <a:spcPts val="0"/>
            </a:spcBef>
            <a:spcAft>
              <a:spcPts val="0"/>
            </a:spcAft>
            <a:buClr>
              <a:srgbClr val="D1D5DB"/>
            </a:buClr>
            <a:buSzPct val="100000"/>
            <a:buFont typeface="Helvetica"/>
            <a:buChar char="•"/>
            <a:defRPr b="0" baseline="0" cap="none" i="0" spc="0" strike="noStrike" sz="1600" u="none">
              <a:solidFill>
                <a:srgbClr val="000000"/>
              </a:solidFill>
              <a:uFillTx/>
              <a:latin typeface="Helvetica"/>
              <a:ea typeface="Helvetica"/>
              <a:cs typeface="Helvetica"/>
              <a:sym typeface="Helvetica"/>
            </a:defRPr>
          </a:pPr>
          <a:r>
            <a:rPr b="1" baseline="0" cap="none" i="0" spc="0" strike="noStrike" sz="1600" u="none">
              <a:solidFill>
                <a:srgbClr val="000000"/>
              </a:solidFill>
              <a:uFillTx/>
              <a:latin typeface="Helvetica"/>
              <a:ea typeface="Helvetica"/>
              <a:cs typeface="Helvetica"/>
              <a:sym typeface="Helvetica"/>
            </a:rPr>
            <a:t>	Wechsel von Präferenzen</a:t>
          </a:r>
          <a:r>
            <a:rPr b="0" baseline="0" cap="none" i="0" spc="0" strike="noStrike" sz="1600" u="none">
              <a:solidFill>
                <a:srgbClr val="000000"/>
              </a:solidFill>
              <a:uFillTx/>
              <a:latin typeface="Helvetica"/>
              <a:ea typeface="Helvetica"/>
              <a:cs typeface="Helvetica"/>
              <a:sym typeface="Helvetica"/>
            </a:rPr>
            <a:t>: Vor dem Schnittpunkt könnte der IRR eine optimistischere Bewertung liefern und danach könnte der Baldwin Zins als konservativer angesehen werden oder umgekehrt, je nachdem, welche Linie über der anderen liegt.</a:t>
          </a:r>
          <a:endParaRPr b="0" baseline="0" cap="none" i="0" spc="0" strike="noStrike" sz="1600" u="none">
            <a:solidFill>
              <a:srgbClr val="000000"/>
            </a:solidFill>
            <a:uFillTx/>
            <a:latin typeface="Helvetica"/>
            <a:ea typeface="Helvetica"/>
            <a:cs typeface="Helvetica"/>
            <a:sym typeface="Helvetica"/>
          </a:endParaRPr>
        </a:p>
        <a:p>
          <a:pPr marL="457200" marR="0" indent="-317500" algn="l" defTabSz="457200" rtl="0" latinLnBrk="0">
            <a:lnSpc>
              <a:spcPct val="100000"/>
            </a:lnSpc>
            <a:spcBef>
              <a:spcPts val="0"/>
            </a:spcBef>
            <a:spcAft>
              <a:spcPts val="0"/>
            </a:spcAft>
            <a:buClr>
              <a:srgbClr val="D1D5DB"/>
            </a:buClr>
            <a:buSzPct val="100000"/>
            <a:buFont typeface="Helvetica"/>
            <a:buChar char="•"/>
            <a:defRPr b="0" baseline="0" cap="none" i="0" spc="0" strike="noStrike" sz="1600" u="none">
              <a:solidFill>
                <a:srgbClr val="000000"/>
              </a:solidFill>
              <a:uFillTx/>
              <a:latin typeface="Helvetica"/>
              <a:ea typeface="Helvetica"/>
              <a:cs typeface="Helvetica"/>
              <a:sym typeface="Helvetica"/>
            </a:defRPr>
          </a:pPr>
          <a:r>
            <a:rPr b="1" baseline="0" cap="none" i="0" spc="0" strike="noStrike" sz="1600" u="none">
              <a:solidFill>
                <a:srgbClr val="000000"/>
              </a:solidFill>
              <a:uFillTx/>
              <a:latin typeface="Helvetica"/>
              <a:ea typeface="Helvetica"/>
              <a:cs typeface="Helvetica"/>
              <a:sym typeface="Helvetica"/>
            </a:rPr>
            <a:t>	Indifferenzzone</a:t>
          </a:r>
          <a:r>
            <a:rPr b="0" baseline="0" cap="none" i="0" spc="0" strike="noStrike" sz="1600" u="none">
              <a:solidFill>
                <a:srgbClr val="000000"/>
              </a:solidFill>
              <a:uFillTx/>
              <a:latin typeface="Helvetica"/>
              <a:ea typeface="Helvetica"/>
              <a:cs typeface="Helvetica"/>
              <a:sym typeface="Helvetica"/>
            </a:rPr>
            <a:t>: Der Schnittpunkt kann als Indifferenzzone interpretiert werden, in der die Präferenz für eine Investition nicht von der gewählten Methode abhängt.</a:t>
          </a:r>
          <a:endParaRPr b="0" baseline="0" cap="none" i="0" spc="0" strike="noStrike" sz="1600" u="none">
            <a:solidFill>
              <a:srgbClr val="000000"/>
            </a:solidFill>
            <a:uFillTx/>
            <a:latin typeface="Helvetica"/>
            <a:ea typeface="Helvetica"/>
            <a:cs typeface="Helvetica"/>
            <a:sym typeface="Helvetica"/>
          </a:endParaRPr>
        </a:p>
        <a:p>
          <a:pPr marL="457200" marR="0" indent="-317500" algn="l" defTabSz="457200" rtl="0" latinLnBrk="0">
            <a:lnSpc>
              <a:spcPct val="100000"/>
            </a:lnSpc>
            <a:spcBef>
              <a:spcPts val="0"/>
            </a:spcBef>
            <a:spcAft>
              <a:spcPts val="0"/>
            </a:spcAft>
            <a:buClr>
              <a:srgbClr val="D1D5DB"/>
            </a:buClr>
            <a:buSzPct val="100000"/>
            <a:buFont typeface="Helvetica"/>
            <a:buChar char="•"/>
            <a:defRPr b="0" baseline="0" cap="none" i="0" spc="0" strike="noStrike" sz="1600" u="none">
              <a:solidFill>
                <a:srgbClr val="000000"/>
              </a:solidFill>
              <a:uFillTx/>
              <a:latin typeface="Helvetica"/>
              <a:ea typeface="Helvetica"/>
              <a:cs typeface="Helvetica"/>
              <a:sym typeface="Helvetica"/>
            </a:defRPr>
          </a:pPr>
          <a:r>
            <a:rPr b="1" baseline="0" cap="none" i="0" spc="0" strike="noStrike" sz="1600" u="none">
              <a:solidFill>
                <a:srgbClr val="000000"/>
              </a:solidFill>
              <a:uFillTx/>
              <a:latin typeface="Helvetica"/>
              <a:ea typeface="Helvetica"/>
              <a:cs typeface="Helvetica"/>
              <a:sym typeface="Helvetica"/>
            </a:rPr>
            <a:t>	Validierung der Methoden</a:t>
          </a:r>
          <a:r>
            <a:rPr b="0" baseline="0" cap="none" i="0" spc="0" strike="noStrike" sz="1600" u="none">
              <a:solidFill>
                <a:srgbClr val="000000"/>
              </a:solidFill>
              <a:uFillTx/>
              <a:latin typeface="Helvetica"/>
              <a:ea typeface="Helvetica"/>
              <a:cs typeface="Helvetica"/>
              <a:sym typeface="Helvetica"/>
            </a:rPr>
            <a:t>: Er bietet eine Validierung der Methoden unter bestimmten Umständen – wenn beide Ansätze zum selben Ergebnis führen, kann dies als Zeichen dafür gewertet werden, dass die Annahmen hinter beiden Methoden für die spezifische Investition akzeptabel sind.</a:t>
          </a:r>
          <a:endParaRPr b="0" baseline="0" cap="none" i="0" spc="0" strike="noStrike" sz="1600" u="none">
            <a:solidFill>
              <a:srgbClr val="000000"/>
            </a:solidFill>
            <a:uFillTx/>
            <a:latin typeface="Helvetica"/>
            <a:ea typeface="Helvetica"/>
            <a:cs typeface="Helvetica"/>
            <a:sym typeface="Helvetica"/>
          </a:endParaRPr>
        </a:p>
        <a:p>
          <a:pPr marL="457200" marR="0" indent="-317500" algn="l" defTabSz="457200" rtl="0" latinLnBrk="0">
            <a:lnSpc>
              <a:spcPct val="100000"/>
            </a:lnSpc>
            <a:spcBef>
              <a:spcPts val="0"/>
            </a:spcBef>
            <a:spcAft>
              <a:spcPts val="0"/>
            </a:spcAft>
            <a:buClr>
              <a:srgbClr val="D1D5DB"/>
            </a:buClr>
            <a:buSzPct val="100000"/>
            <a:buFont typeface="Helvetica"/>
            <a:buChar char="•"/>
            <a:defRPr b="0" baseline="0" cap="none" i="0" spc="0" strike="noStrike" sz="1600" u="none">
              <a:solidFill>
                <a:srgbClr val="000000"/>
              </a:solidFill>
              <a:uFillTx/>
              <a:latin typeface="Helvetica"/>
              <a:ea typeface="Helvetica"/>
              <a:cs typeface="Helvetica"/>
              <a:sym typeface="Helvetica"/>
            </a:defRPr>
          </a:pPr>
          <a:r>
            <a:rPr b="1" baseline="0" cap="none" i="0" spc="0" strike="noStrike" sz="1600" u="none">
              <a:solidFill>
                <a:srgbClr val="000000"/>
              </a:solidFill>
              <a:uFillTx/>
              <a:latin typeface="Helvetica"/>
              <a:ea typeface="Helvetica"/>
              <a:cs typeface="Helvetica"/>
              <a:sym typeface="Helvetica"/>
            </a:rPr>
            <a:t>	Annahmen über Cashflows</a:t>
          </a:r>
          <a:r>
            <a:rPr b="0" baseline="0" cap="none" i="0" spc="0" strike="noStrike" sz="1600" u="none">
              <a:solidFill>
                <a:srgbClr val="000000"/>
              </a:solidFill>
              <a:uFillTx/>
              <a:latin typeface="Helvetica"/>
              <a:ea typeface="Helvetica"/>
              <a:cs typeface="Helvetica"/>
              <a:sym typeface="Helvetica"/>
            </a:rPr>
            <a:t>: Der Schnittpunkt könnte auch darauf hinweisen, dass die spezifischen Cashflow-Profile der Investition (z.B. die Größe und das Timing der Cashflows) zu den Annahmen beider Modelle passen.</a:t>
          </a:r>
          <a:endParaRPr b="0" baseline="0" cap="none" i="0" spc="0" strike="noStrike" sz="1600" u="none">
            <a:solidFill>
              <a:srgbClr val="000000"/>
            </a:solidFill>
            <a:uFillTx/>
            <a:latin typeface="Helvetica"/>
            <a:ea typeface="Helvetica"/>
            <a:cs typeface="Helvetica"/>
            <a:sym typeface="Helvetica"/>
          </a:endParaRPr>
        </a:p>
        <a:p>
          <a:pPr marL="457200" marR="0" indent="-317500" algn="l" defTabSz="457200" rtl="0" latinLnBrk="0">
            <a:lnSpc>
              <a:spcPct val="100000"/>
            </a:lnSpc>
            <a:spcBef>
              <a:spcPts val="0"/>
            </a:spcBef>
            <a:spcAft>
              <a:spcPts val="0"/>
            </a:spcAft>
            <a:buClr>
              <a:srgbClr val="D1D5DB"/>
            </a:buClr>
            <a:buSzPct val="100000"/>
            <a:buFont typeface="Helvetica"/>
            <a:buChar char="•"/>
            <a:defRPr b="0" baseline="0" cap="none" i="0" spc="0" strike="noStrike" sz="1600" u="none">
              <a:solidFill>
                <a:srgbClr val="000000"/>
              </a:solidFill>
              <a:uFillTx/>
              <a:latin typeface="Helvetica"/>
              <a:ea typeface="Helvetica"/>
              <a:cs typeface="Helvetica"/>
              <a:sym typeface="Helvetica"/>
            </a:defRPr>
          </a:pPr>
          <a:r>
            <a:rPr b="1" baseline="0" cap="none" i="0" spc="0" strike="noStrike" sz="1600" u="none">
              <a:solidFill>
                <a:srgbClr val="000000"/>
              </a:solidFill>
              <a:uFillTx/>
              <a:latin typeface="Helvetica"/>
              <a:ea typeface="Helvetica"/>
              <a:cs typeface="Helvetica"/>
              <a:sym typeface="Helvetica"/>
            </a:rPr>
            <a:t>	Planungssicherheit</a:t>
          </a:r>
          <a:r>
            <a:rPr b="0" baseline="0" cap="none" i="0" spc="0" strike="noStrike" sz="1600" u="none">
              <a:solidFill>
                <a:srgbClr val="000000"/>
              </a:solidFill>
              <a:uFillTx/>
              <a:latin typeface="Helvetica"/>
              <a:ea typeface="Helvetica"/>
              <a:cs typeface="Helvetica"/>
              <a:sym typeface="Helvetica"/>
            </a:rPr>
            <a:t>: In der Praxis kann der Schnittpunkt als Indikator für eine gewisse Planungssicherheit dienen. Investoren könnten diesen Punkt als Bestätigung dafür nehmen, dass die Investition bis zu diesem Kalkulationszins eine bestimmte Mindestrendite erzielen wird.</a:t>
          </a:r>
          <a:endParaRPr b="0" baseline="0" cap="none" i="0" spc="0" strike="noStrike" sz="1600" u="none">
            <a:solidFill>
              <a:srgbClr val="000000"/>
            </a:solidFill>
            <a:uFillTx/>
            <a:latin typeface="Helvetica"/>
            <a:ea typeface="Helvetica"/>
            <a:cs typeface="Helvetica"/>
            <a:sym typeface="Helvetica"/>
          </a:endParaRPr>
        </a:p>
        <a:p>
          <a:pPr marL="457200" marR="0" indent="-317500" algn="l" defTabSz="457200" rtl="0" latinLnBrk="0">
            <a:lnSpc>
              <a:spcPct val="100000"/>
            </a:lnSpc>
            <a:spcBef>
              <a:spcPts val="0"/>
            </a:spcBef>
            <a:spcAft>
              <a:spcPts val="0"/>
            </a:spcAft>
            <a:buClr>
              <a:srgbClr val="D1D5DB"/>
            </a:buClr>
            <a:buSzPct val="100000"/>
            <a:buFont typeface="Helvetica"/>
            <a:buChar char="•"/>
            <a:defRPr b="0" baseline="0" cap="none" i="0" spc="0" strike="noStrike" sz="1600" u="none">
              <a:solidFill>
                <a:srgbClr val="000000"/>
              </a:solidFill>
              <a:uFillTx/>
              <a:latin typeface="Helvetica"/>
              <a:ea typeface="Helvetica"/>
              <a:cs typeface="Helvetica"/>
              <a:sym typeface="Helvetica"/>
            </a:defRPr>
          </a:pPr>
          <a:r>
            <a:rPr b="1" baseline="0" cap="none" i="0" spc="0" strike="noStrike" sz="1600" u="none">
              <a:solidFill>
                <a:srgbClr val="000000"/>
              </a:solidFill>
              <a:uFillTx/>
              <a:latin typeface="Helvetica"/>
              <a:ea typeface="Helvetica"/>
              <a:cs typeface="Helvetica"/>
              <a:sym typeface="Helvetica"/>
            </a:rPr>
            <a:t>	Wirtschaftliche Veränderungen</a:t>
          </a:r>
          <a:r>
            <a:rPr b="0" baseline="0" cap="none" i="0" spc="0" strike="noStrike" sz="1600" u="none">
              <a:solidFill>
                <a:srgbClr val="000000"/>
              </a:solidFill>
              <a:uFillTx/>
              <a:latin typeface="Helvetica"/>
              <a:ea typeface="Helvetica"/>
              <a:cs typeface="Helvetica"/>
              <a:sym typeface="Helvetica"/>
            </a:rPr>
            <a:t>: Der Schnittpunkt kann auch als Sensitivitätsanalyse dienen, die zeigt, wie robust eine Investition gegenüber wirtschaftlichen Veränderungen ist, insbesondere gegenüber Veränderungen der Kapitalkosten.</a:t>
          </a:r>
          <a:endParaRPr b="0" baseline="0" cap="none" i="0" spc="0" strike="noStrike" sz="1600" u="none">
            <a:solidFill>
              <a:srgbClr val="000000"/>
            </a:solidFill>
            <a:uFillTx/>
            <a:latin typeface="Helvetica"/>
            <a:ea typeface="Helvetica"/>
            <a:cs typeface="Helvetica"/>
            <a:sym typeface="Helvetica"/>
          </a:endParaRPr>
        </a:p>
        <a:p>
          <a:pPr marL="457200" marR="0" indent="-317500" algn="l" defTabSz="457200" rtl="0" latinLnBrk="0">
            <a:lnSpc>
              <a:spcPct val="100000"/>
            </a:lnSpc>
            <a:spcBef>
              <a:spcPts val="0"/>
            </a:spcBef>
            <a:spcAft>
              <a:spcPts val="0"/>
            </a:spcAft>
            <a:buClr>
              <a:srgbClr val="D1D5DB"/>
            </a:buClr>
            <a:buSzPct val="100000"/>
            <a:buFont typeface="Helvetica"/>
            <a:buChar char="•"/>
            <a:defRPr b="0" baseline="0" cap="none" i="0" spc="0" strike="noStrike" sz="1600" u="none">
              <a:solidFill>
                <a:srgbClr val="000000"/>
              </a:solidFill>
              <a:uFillTx/>
              <a:latin typeface="Helvetica"/>
              <a:ea typeface="Helvetica"/>
              <a:cs typeface="Helvetica"/>
              <a:sym typeface="Helvetica"/>
            </a:defRPr>
          </a:pPr>
          <a:r>
            <a:rPr b="1" baseline="0" cap="none" i="0" spc="0" strike="noStrike" sz="1600" u="none">
              <a:solidFill>
                <a:srgbClr val="000000"/>
              </a:solidFill>
              <a:uFillTx/>
              <a:latin typeface="Helvetica"/>
              <a:ea typeface="Helvetica"/>
              <a:cs typeface="Helvetica"/>
              <a:sym typeface="Helvetica"/>
            </a:rPr>
            <a:t>	Strategische Überlegungen</a:t>
          </a:r>
          <a:r>
            <a:rPr b="0" baseline="0" cap="none" i="0" spc="0" strike="noStrike" sz="1600" u="none">
              <a:solidFill>
                <a:srgbClr val="000000"/>
              </a:solidFill>
              <a:uFillTx/>
              <a:latin typeface="Helvetica"/>
              <a:ea typeface="Helvetica"/>
              <a:cs typeface="Helvetica"/>
              <a:sym typeface="Helvetica"/>
            </a:rPr>
            <a:t>: Für Unternehmen könnte der Schnittpunkt strategische Überlegungen widerspiegeln, wie z.B. die Auswahl von Projekten, die unter verschiedenen Finanzierungsbedingungen stabil bleiben.</a:t>
          </a:r>
          <a:endParaRPr b="0" baseline="0" cap="none" i="0" spc="0" strike="noStrike" sz="1600" u="none">
            <a:solidFill>
              <a:srgbClr val="000000"/>
            </a:solidFill>
            <a:uFillTx/>
            <a:latin typeface="Helvetica"/>
            <a:ea typeface="Helvetica"/>
            <a:cs typeface="Helvetica"/>
            <a:sym typeface="Helvetica"/>
          </a:endParaRPr>
        </a:p>
        <a:p>
          <a:pPr marL="457200" marR="0" indent="-317500" algn="l" defTabSz="457200" rtl="0" latinLnBrk="0">
            <a:lnSpc>
              <a:spcPct val="100000"/>
            </a:lnSpc>
            <a:spcBef>
              <a:spcPts val="0"/>
            </a:spcBef>
            <a:spcAft>
              <a:spcPts val="0"/>
            </a:spcAft>
            <a:buClr>
              <a:srgbClr val="D1D5DB"/>
            </a:buClr>
            <a:buSzPct val="100000"/>
            <a:buFont typeface="Helvetica"/>
            <a:buChar char="•"/>
            <a:defRPr b="0" baseline="0" cap="none" i="0" spc="0" strike="noStrike" sz="1600" u="none">
              <a:solidFill>
                <a:srgbClr val="000000"/>
              </a:solidFill>
              <a:uFillTx/>
              <a:latin typeface="Helvetica"/>
              <a:ea typeface="Helvetica"/>
              <a:cs typeface="Helvetica"/>
              <a:sym typeface="Helvetica"/>
            </a:defRPr>
          </a:pPr>
          <a:r>
            <a:rPr b="1" baseline="0" cap="none" i="0" spc="0" strike="noStrike" sz="1600" u="none">
              <a:solidFill>
                <a:srgbClr val="000000"/>
              </a:solidFill>
              <a:uFillTx/>
              <a:latin typeface="Helvetica"/>
              <a:ea typeface="Helvetica"/>
              <a:cs typeface="Helvetica"/>
              <a:sym typeface="Helvetica"/>
            </a:rPr>
            <a:t>	Grenze der Vorteilhaftigkeit</a:t>
          </a:r>
          <a:r>
            <a:rPr b="0" baseline="0" cap="none" i="0" spc="0" strike="noStrike" sz="1600" u="none">
              <a:solidFill>
                <a:srgbClr val="000000"/>
              </a:solidFill>
              <a:uFillTx/>
              <a:latin typeface="Helvetica"/>
              <a:ea typeface="Helvetica"/>
              <a:cs typeface="Helvetica"/>
              <a:sym typeface="Helvetica"/>
            </a:rPr>
            <a:t>: Er kann auch die Grenze markieren, an der eine Investition von vorteilhaft zu nicht vorteilhaft wechselt, basierend auf dem zugrunde liegenden Kalkulationszins.</a:t>
          </a:r>
        </a:p>
      </xdr:txBody>
    </xdr:sp>
    <xdr:clientData/>
  </xdr:twoCellAnchor>
  <xdr:twoCellAnchor>
    <xdr:from>
      <xdr:col>5</xdr:col>
      <xdr:colOff>870743</xdr:colOff>
      <xdr:row>56</xdr:row>
      <xdr:rowOff>241553</xdr:rowOff>
    </xdr:from>
    <xdr:to>
      <xdr:col>11</xdr:col>
      <xdr:colOff>227091</xdr:colOff>
      <xdr:row>87</xdr:row>
      <xdr:rowOff>59943</xdr:rowOff>
    </xdr:to>
    <xdr:sp>
      <xdr:nvSpPr>
        <xdr:cNvPr id="8" name="Vergleich der Anlagengrößen…"/>
        <xdr:cNvSpPr txBox="1"/>
      </xdr:nvSpPr>
      <xdr:spPr>
        <a:xfrm>
          <a:off x="7322343" y="11257533"/>
          <a:ext cx="7281149" cy="7653021"/>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50800" tIns="50800" rIns="50800" bIns="50800" numCol="1" anchor="t">
          <a:spAutoFit/>
        </a:bodyPr>
        <a:lstStyle/>
        <a:p>
          <a:pPr marL="0" marR="0" indent="0" algn="l" defTabSz="457200" rtl="0" latinLnBrk="0">
            <a:lnSpc>
              <a:spcPct val="100000"/>
            </a:lnSpc>
            <a:spcBef>
              <a:spcPts val="1200"/>
            </a:spcBef>
            <a:spcAft>
              <a:spcPts val="0"/>
            </a:spcAft>
            <a:buClrTx/>
            <a:buSzTx/>
            <a:buFontTx/>
            <a:buNone/>
            <a:defRPr b="1" baseline="0" cap="none" i="0" spc="-24" strike="noStrike" sz="2400" u="none">
              <a:solidFill>
                <a:srgbClr val="000000"/>
              </a:solidFill>
              <a:uFillTx/>
              <a:latin typeface="+mn-lt"/>
              <a:ea typeface="+mn-ea"/>
              <a:cs typeface="+mn-cs"/>
              <a:sym typeface="Helvetica Neue"/>
            </a:defRPr>
          </a:pPr>
          <a:r>
            <a:rPr b="1" baseline="0" cap="none" i="0" spc="-24" strike="noStrike" sz="2400" u="none">
              <a:solidFill>
                <a:srgbClr val="000000"/>
              </a:solidFill>
              <a:uFillTx/>
              <a:latin typeface="+mn-lt"/>
              <a:ea typeface="+mn-ea"/>
              <a:cs typeface="+mn-cs"/>
              <a:sym typeface="Helvetica Neue"/>
            </a:rPr>
            <a:t>Vergleich der Anlagengrößen</a:t>
          </a:r>
          <a:endParaRPr b="1" baseline="0" cap="none" i="0" spc="-24" strike="noStrike" sz="2400" u="none">
            <a:solidFill>
              <a:srgbClr val="000000"/>
            </a:solidFill>
            <a:uFillTx/>
            <a:latin typeface="+mn-lt"/>
            <a:ea typeface="+mn-ea"/>
            <a:cs typeface="+mn-cs"/>
            <a:sym typeface="Helvetica Neue"/>
          </a:endParaRPr>
        </a:p>
        <a:p>
          <a:pPr marL="457200" marR="0" indent="-317500" algn="l" defTabSz="457200" rtl="0" latinLnBrk="0">
            <a:lnSpc>
              <a:spcPct val="100000"/>
            </a:lnSpc>
            <a:spcBef>
              <a:spcPts val="0"/>
            </a:spcBef>
            <a:spcAft>
              <a:spcPts val="0"/>
            </a:spcAft>
            <a:buClr>
              <a:srgbClr val="D1D5DB"/>
            </a:buClr>
            <a:buSzPct val="100000"/>
            <a:buFont typeface="Helvetica"/>
            <a:buChar char="•"/>
            <a:defRPr b="0" baseline="0" cap="none" i="0" spc="0" strike="noStrike" sz="1600" u="none">
              <a:solidFill>
                <a:srgbClr val="000000"/>
              </a:solidFill>
              <a:uFillTx/>
              <a:latin typeface="Helvetica"/>
              <a:ea typeface="Helvetica"/>
              <a:cs typeface="Helvetica"/>
              <a:sym typeface="Helvetica"/>
            </a:defRPr>
          </a:pPr>
          <a:r>
            <a:rPr b="1" baseline="0" cap="none" i="0" spc="0" strike="noStrike" sz="1600" u="none">
              <a:solidFill>
                <a:srgbClr val="000000"/>
              </a:solidFill>
              <a:uFillTx/>
              <a:latin typeface="Helvetica"/>
              <a:ea typeface="Helvetica"/>
              <a:cs typeface="Helvetica"/>
              <a:sym typeface="Helvetica"/>
            </a:rPr>
            <a:t>	Zinsabhängigkeit</a:t>
          </a:r>
          <a:r>
            <a:rPr b="0" baseline="0" cap="none" i="0" spc="0" strike="noStrike" sz="1600" u="none">
              <a:solidFill>
                <a:srgbClr val="000000"/>
              </a:solidFill>
              <a:uFillTx/>
              <a:latin typeface="Helvetica"/>
              <a:ea typeface="Helvetica"/>
              <a:cs typeface="Helvetica"/>
              <a:sym typeface="Helvetica"/>
            </a:rPr>
            <a:t>: Sowohl die Baldwin Zinsen als auch die IRR-Werte steigen mit abnehmendem kalkulatorischem Zins an, was typisch ist, da niedrigere Diskontierungssätze zukünftige Cashflows höher bewerten.</a:t>
          </a:r>
          <a:endParaRPr b="0" baseline="0" cap="none" i="0" spc="0" strike="noStrike" sz="1600" u="none">
            <a:solidFill>
              <a:srgbClr val="000000"/>
            </a:solidFill>
            <a:uFillTx/>
            <a:latin typeface="Helvetica"/>
            <a:ea typeface="Helvetica"/>
            <a:cs typeface="Helvetica"/>
            <a:sym typeface="Helvetica"/>
          </a:endParaRPr>
        </a:p>
        <a:p>
          <a:pPr marL="457200" marR="0" indent="-317500" algn="l" defTabSz="457200" rtl="0" latinLnBrk="0">
            <a:lnSpc>
              <a:spcPct val="100000"/>
            </a:lnSpc>
            <a:spcBef>
              <a:spcPts val="0"/>
            </a:spcBef>
            <a:spcAft>
              <a:spcPts val="0"/>
            </a:spcAft>
            <a:buClr>
              <a:srgbClr val="D1D5DB"/>
            </a:buClr>
            <a:buSzPct val="100000"/>
            <a:buFont typeface="Helvetica"/>
            <a:buChar char="•"/>
            <a:defRPr b="0" baseline="0" cap="none" i="0" spc="0" strike="noStrike" sz="1600" u="none">
              <a:solidFill>
                <a:srgbClr val="000000"/>
              </a:solidFill>
              <a:uFillTx/>
              <a:latin typeface="Helvetica"/>
              <a:ea typeface="Helvetica"/>
              <a:cs typeface="Helvetica"/>
              <a:sym typeface="Helvetica"/>
            </a:defRPr>
          </a:pPr>
          <a:r>
            <a:rPr b="1" baseline="0" cap="none" i="0" spc="0" strike="noStrike" sz="1600" u="none">
              <a:solidFill>
                <a:srgbClr val="000000"/>
              </a:solidFill>
              <a:uFillTx/>
              <a:latin typeface="Helvetica"/>
              <a:ea typeface="Helvetica"/>
              <a:cs typeface="Helvetica"/>
              <a:sym typeface="Helvetica"/>
            </a:rPr>
            <a:t>	Anlagengröße und Rendite</a:t>
          </a:r>
          <a:r>
            <a:rPr b="0" baseline="0" cap="none" i="0" spc="0" strike="noStrike" sz="1600" u="none">
              <a:solidFill>
                <a:srgbClr val="000000"/>
              </a:solidFill>
              <a:uFillTx/>
              <a:latin typeface="Helvetica"/>
              <a:ea typeface="Helvetica"/>
              <a:cs typeface="Helvetica"/>
              <a:sym typeface="Helvetica"/>
            </a:rPr>
            <a:t>: Die Anlage mit 9,75 kWp zeigt höhere IRR-Werte über alle Kalkulationszinssätze hinweg im Vergleich zur Anlage mit 12,8 kWp. Dies deutet darauf hin, dass die kleinere Anlage eine höhere Rendite aufweist oder effizienter arbeitet.</a:t>
          </a:r>
          <a:endParaRPr b="0" baseline="0" cap="none" i="0" spc="0" strike="noStrike" sz="1600" u="none">
            <a:solidFill>
              <a:srgbClr val="000000"/>
            </a:solidFill>
            <a:uFillTx/>
            <a:latin typeface="Helvetica"/>
            <a:ea typeface="Helvetica"/>
            <a:cs typeface="Helvetica"/>
            <a:sym typeface="Helvetica"/>
          </a:endParaRPr>
        </a:p>
        <a:p>
          <a:pPr marL="457200" marR="0" indent="-317500" algn="l" defTabSz="457200" rtl="0" latinLnBrk="0">
            <a:lnSpc>
              <a:spcPct val="100000"/>
            </a:lnSpc>
            <a:spcBef>
              <a:spcPts val="0"/>
            </a:spcBef>
            <a:spcAft>
              <a:spcPts val="0"/>
            </a:spcAft>
            <a:buClr>
              <a:srgbClr val="D1D5DB"/>
            </a:buClr>
            <a:buSzPct val="100000"/>
            <a:buFont typeface="Helvetica"/>
            <a:buChar char="•"/>
            <a:defRPr b="0" baseline="0" cap="none" i="0" spc="0" strike="noStrike" sz="1600" u="none">
              <a:solidFill>
                <a:srgbClr val="000000"/>
              </a:solidFill>
              <a:uFillTx/>
              <a:latin typeface="Helvetica"/>
              <a:ea typeface="Helvetica"/>
              <a:cs typeface="Helvetica"/>
              <a:sym typeface="Helvetica"/>
            </a:defRPr>
          </a:pPr>
          <a:r>
            <a:rPr b="1" baseline="0" cap="none" i="0" spc="0" strike="noStrike" sz="1600" u="none">
              <a:solidFill>
                <a:srgbClr val="000000"/>
              </a:solidFill>
              <a:uFillTx/>
              <a:latin typeface="Helvetica"/>
              <a:ea typeface="Helvetica"/>
              <a:cs typeface="Helvetica"/>
              <a:sym typeface="Helvetica"/>
            </a:rPr>
            <a:t>	Vergleich Baldwin vs. IRR</a:t>
          </a:r>
          <a:r>
            <a:rPr b="0" baseline="0" cap="none" i="0" spc="0" strike="noStrike" sz="1600" u="none">
              <a:solidFill>
                <a:srgbClr val="000000"/>
              </a:solidFill>
              <a:uFillTx/>
              <a:latin typeface="Helvetica"/>
              <a:ea typeface="Helvetica"/>
              <a:cs typeface="Helvetica"/>
              <a:sym typeface="Helvetica"/>
            </a:rPr>
            <a:t>: Der IRR ist für beide Anlagengrößen durchweg höher als der entsprechende Baldwin Zins. Das bestätigt, dass der IRR generell eine optimistischere Renditeprognose darstellt.</a:t>
          </a:r>
          <a:endParaRPr b="0" baseline="0" cap="none" i="0" spc="0" strike="noStrike" sz="1600" u="none">
            <a:solidFill>
              <a:srgbClr val="000000"/>
            </a:solidFill>
            <a:uFillTx/>
            <a:latin typeface="Helvetica"/>
            <a:ea typeface="Helvetica"/>
            <a:cs typeface="Helvetica"/>
            <a:sym typeface="Helvetica"/>
          </a:endParaRPr>
        </a:p>
        <a:p>
          <a:pPr marL="457200" marR="0" indent="-317500" algn="l" defTabSz="457200" rtl="0" latinLnBrk="0">
            <a:lnSpc>
              <a:spcPct val="100000"/>
            </a:lnSpc>
            <a:spcBef>
              <a:spcPts val="0"/>
            </a:spcBef>
            <a:spcAft>
              <a:spcPts val="0"/>
            </a:spcAft>
            <a:buClr>
              <a:srgbClr val="D1D5DB"/>
            </a:buClr>
            <a:buSzPct val="100000"/>
            <a:buFont typeface="Helvetica"/>
            <a:buChar char="•"/>
            <a:defRPr b="0" baseline="0" cap="none" i="0" spc="0" strike="noStrike" sz="1600" u="none">
              <a:solidFill>
                <a:srgbClr val="000000"/>
              </a:solidFill>
              <a:uFillTx/>
              <a:latin typeface="Helvetica"/>
              <a:ea typeface="Helvetica"/>
              <a:cs typeface="Helvetica"/>
              <a:sym typeface="Helvetica"/>
            </a:defRPr>
          </a:pPr>
          <a:r>
            <a:rPr b="1" baseline="0" cap="none" i="0" spc="0" strike="noStrike" sz="1600" u="none">
              <a:solidFill>
                <a:srgbClr val="000000"/>
              </a:solidFill>
              <a:uFillTx/>
              <a:latin typeface="Helvetica"/>
              <a:ea typeface="Helvetica"/>
              <a:cs typeface="Helvetica"/>
              <a:sym typeface="Helvetica"/>
            </a:rPr>
            <a:t>	Renditeabnahme mit Zunahme des Kalkulationszinses</a:t>
          </a:r>
          <a:r>
            <a:rPr b="0" baseline="0" cap="none" i="0" spc="0" strike="noStrike" sz="1600" u="none">
              <a:solidFill>
                <a:srgbClr val="000000"/>
              </a:solidFill>
              <a:uFillTx/>
              <a:latin typeface="Helvetica"/>
              <a:ea typeface="Helvetica"/>
              <a:cs typeface="Helvetica"/>
              <a:sym typeface="Helvetica"/>
            </a:rPr>
            <a:t>: Bei beiden Anlagen sinkt die Rendite mit steigendem Kalkulationszins. Bei 6 % Kalkulationszins erreichen die IRR-Werte der 9,75 kWp Anlage fast das Niveau des kalkulatorischen Zinses, was darauf hindeutet, dass die Investition weniger attraktiv wird.</a:t>
          </a:r>
          <a:endParaRPr b="0" baseline="0" cap="none" i="0" spc="0" strike="noStrike" sz="1600" u="none">
            <a:solidFill>
              <a:srgbClr val="000000"/>
            </a:solidFill>
            <a:uFillTx/>
            <a:latin typeface="Helvetica"/>
            <a:ea typeface="Helvetica"/>
            <a:cs typeface="Helvetica"/>
            <a:sym typeface="Helvetica"/>
          </a:endParaRPr>
        </a:p>
        <a:p>
          <a:pPr marL="457200" marR="0" indent="-317500" algn="l" defTabSz="457200" rtl="0" latinLnBrk="0">
            <a:lnSpc>
              <a:spcPct val="100000"/>
            </a:lnSpc>
            <a:spcBef>
              <a:spcPts val="0"/>
            </a:spcBef>
            <a:spcAft>
              <a:spcPts val="0"/>
            </a:spcAft>
            <a:buClr>
              <a:srgbClr val="D1D5DB"/>
            </a:buClr>
            <a:buSzPct val="100000"/>
            <a:buFont typeface="Helvetica"/>
            <a:buChar char="•"/>
            <a:defRPr b="0" baseline="0" cap="none" i="0" spc="0" strike="noStrike" sz="1600" u="none">
              <a:solidFill>
                <a:srgbClr val="000000"/>
              </a:solidFill>
              <a:uFillTx/>
              <a:latin typeface="Helvetica"/>
              <a:ea typeface="Helvetica"/>
              <a:cs typeface="Helvetica"/>
              <a:sym typeface="Helvetica"/>
            </a:defRPr>
          </a:pPr>
          <a:r>
            <a:rPr b="1" baseline="0" cap="none" i="0" spc="0" strike="noStrike" sz="1600" u="none">
              <a:solidFill>
                <a:srgbClr val="000000"/>
              </a:solidFill>
              <a:uFillTx/>
              <a:latin typeface="Helvetica"/>
              <a:ea typeface="Helvetica"/>
              <a:cs typeface="Helvetica"/>
              <a:sym typeface="Helvetica"/>
            </a:rPr>
            <a:t>	Baldwin Zins Steigerung</a:t>
          </a:r>
          <a:r>
            <a:rPr b="0" baseline="0" cap="none" i="0" spc="0" strike="noStrike" sz="1600" u="none">
              <a:solidFill>
                <a:srgbClr val="000000"/>
              </a:solidFill>
              <a:uFillTx/>
              <a:latin typeface="Helvetica"/>
              <a:ea typeface="Helvetica"/>
              <a:cs typeface="Helvetica"/>
              <a:sym typeface="Helvetica"/>
            </a:rPr>
            <a:t>: Interessanterweise steigen die Baldwin Zinsen für die 9,75 kWp Anlage mit zunehmendem kalkulatorischen Zins an, während sie für die 12,8 kWp Anlage relativ stabil bleiben und dann zunehmen. Dies könnte auf unterschiedliche Reinvestitionsmöglichkeiten oder Cashflow-Strukturen hinweisen.</a:t>
          </a:r>
          <a:endParaRPr b="0" baseline="0" cap="none" i="0" spc="0" strike="noStrike" sz="1600" u="none">
            <a:solidFill>
              <a:srgbClr val="000000"/>
            </a:solidFill>
            <a:uFillTx/>
            <a:latin typeface="Helvetica"/>
            <a:ea typeface="Helvetica"/>
            <a:cs typeface="Helvetica"/>
            <a:sym typeface="Helvetica"/>
          </a:endParaRPr>
        </a:p>
        <a:p>
          <a:pPr marL="457200" marR="0" indent="-317500" algn="l" defTabSz="457200" rtl="0" latinLnBrk="0">
            <a:lnSpc>
              <a:spcPct val="100000"/>
            </a:lnSpc>
            <a:spcBef>
              <a:spcPts val="0"/>
            </a:spcBef>
            <a:spcAft>
              <a:spcPts val="0"/>
            </a:spcAft>
            <a:buClr>
              <a:srgbClr val="D1D5DB"/>
            </a:buClr>
            <a:buSzPct val="100000"/>
            <a:buFont typeface="Helvetica"/>
            <a:buChar char="•"/>
            <a:defRPr b="0" baseline="0" cap="none" i="0" spc="0" strike="noStrike" sz="1600" u="none">
              <a:solidFill>
                <a:srgbClr val="000000"/>
              </a:solidFill>
              <a:uFillTx/>
              <a:latin typeface="Helvetica"/>
              <a:ea typeface="Helvetica"/>
              <a:cs typeface="Helvetica"/>
              <a:sym typeface="Helvetica"/>
            </a:defRPr>
          </a:pPr>
          <a:r>
            <a:rPr b="1" baseline="0" cap="none" i="0" spc="0" strike="noStrike" sz="1600" u="none">
              <a:solidFill>
                <a:srgbClr val="000000"/>
              </a:solidFill>
              <a:uFillTx/>
              <a:latin typeface="Helvetica"/>
              <a:ea typeface="Helvetica"/>
              <a:cs typeface="Helvetica"/>
              <a:sym typeface="Helvetica"/>
            </a:rPr>
            <a:t>	Break-Even-Punkt</a:t>
          </a:r>
          <a:r>
            <a:rPr b="0" baseline="0" cap="none" i="0" spc="0" strike="noStrike" sz="1600" u="none">
              <a:solidFill>
                <a:srgbClr val="000000"/>
              </a:solidFill>
              <a:uFillTx/>
              <a:latin typeface="Helvetica"/>
              <a:ea typeface="Helvetica"/>
              <a:cs typeface="Helvetica"/>
              <a:sym typeface="Helvetica"/>
            </a:rPr>
            <a:t>: Die IRR-Werte nähern sich bei einem kalkulatorischen Zins von 6 % den Baldwin Zinsen, was auf einen Break-Even-Punkt hinweisen könnte. Dieser Punkt ist kritisch, da hier die Rendite der Investition gerade den Kapitalkosten entspricht.</a:t>
          </a:r>
        </a:p>
      </xdr:txBody>
    </xdr:sp>
    <xdr:clientData/>
  </xdr:twoCellAnchor>
</xdr:wsDr>
</file>

<file path=xl/theme/theme1.xml><?xml version="1.0" encoding="utf-8"?>
<a:theme xmlns:a="http://schemas.openxmlformats.org/drawingml/2006/main" xmlns:r="http://schemas.openxmlformats.org/officeDocument/2006/relationships"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00000"/>
        </a:solidFill>
        <a:ln w="12700" cap="flat">
          <a:noFill/>
          <a:miter lim="400000"/>
        </a:ln>
        <a:effectLst/>
        <a:sp3d/>
      </a:spPr>
      <a:bodyPr rot="0" spcFirstLastPara="1" vertOverflow="overflow" horzOverflow="overflow" vert="horz" wrap="square" lIns="50800" tIns="50800" rIns="50800" bIns="50800" numCol="1" spcCol="38100" rtlCol="0" anchor="ctr" upright="0">
        <a:spAutoFit/>
      </a:bodyPr>
      <a:lstStyle>
        <a:defPPr marL="0" marR="0" indent="0" algn="ctr" defTabSz="584200" rtl="0" fontAlgn="auto" latinLnBrk="0" hangingPunct="0">
          <a:lnSpc>
            <a:spcPct val="100000"/>
          </a:lnSpc>
          <a:spcBef>
            <a:spcPts val="0"/>
          </a:spcBef>
          <a:spcAft>
            <a:spcPts val="0"/>
          </a:spcAft>
          <a:buClrTx/>
          <a:buSzTx/>
          <a:buFontTx/>
          <a:buNone/>
          <a:defRPr b="0" baseline="0" cap="none" i="0" spc="0" strike="noStrike" sz="1200" u="none" kumimoji="0" normalizeH="0">
            <a:ln>
              <a:noFill/>
            </a:ln>
            <a:solidFill>
              <a:srgbClr val="FFFFFF"/>
            </a:solidFill>
            <a:effectLst/>
            <a:uFillTx/>
            <a:latin typeface="Helvetica Neue Medium"/>
            <a:ea typeface="Helvetica Neue Medium"/>
            <a:cs typeface="Helvetica Neue Medium"/>
            <a:sym typeface="Helvetica Neue Medium"/>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127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upright="0">
        <a:spAutoFit/>
      </a:bodyPr>
      <a:lstStyle>
        <a:defPPr marL="0" marR="0" indent="0" algn="l" defTabSz="4572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3.xml.rels><?xml version="1.0" encoding="UTF-8"?>
<Relationships xmlns="http://schemas.openxmlformats.org/package/2006/relationships"><Relationship Id="rId1" Type="http://schemas.openxmlformats.org/officeDocument/2006/relationships/drawing" Target="../drawings/drawing1.xml"/></Relationships>

</file>

<file path=xl/worksheets/_rels/sheet5.xml.rels><?xml version="1.0" encoding="UTF-8"?>
<Relationships xmlns="http://schemas.openxmlformats.org/package/2006/relationships"><Relationship Id="rId1" Type="http://schemas.openxmlformats.org/officeDocument/2006/relationships/drawing" Target="../drawings/drawing2.xml"/></Relationships>

</file>

<file path=xl/worksheets/_rels/sheet8.xml.rels><?xml version="1.0" encoding="UTF-8"?>
<Relationships xmlns="http://schemas.openxmlformats.org/package/2006/relationships"><Relationship Id="rId1" Type="http://schemas.openxmlformats.org/officeDocument/2006/relationships/drawing" Target="../drawings/drawing3.xml"/></Relationships>

</file>

<file path=xl/worksheets/sheet1.xml><?xml version="1.0" encoding="utf-8"?>
<worksheet xmlns:r="http://schemas.openxmlformats.org/officeDocument/2006/relationships" xmlns="http://schemas.openxmlformats.org/spreadsheetml/2006/main">
  <dimension ref="A2:D38"/>
  <sheetViews>
    <sheetView workbookViewId="0" showGridLines="0" defaultGridColor="1">
      <pane topLeftCell="C3" xSplit="2" ySplit="2" activePane="bottomRight" state="frozen"/>
    </sheetView>
  </sheetViews>
  <sheetFormatPr defaultColWidth="16.3333" defaultRowHeight="19.9" customHeight="1" outlineLevelRow="0" outlineLevelCol="0"/>
  <cols>
    <col min="1" max="1" width="12.1406" style="1" customWidth="1"/>
    <col min="2" max="2" width="44.7422" style="1" customWidth="1"/>
    <col min="3" max="4" width="16.5391" style="1" customWidth="1"/>
    <col min="5" max="16384" width="16.3516" style="1" customWidth="1"/>
  </cols>
  <sheetData>
    <row r="1" ht="27.65" customHeight="1">
      <c r="A1" t="s" s="2">
        <v>0</v>
      </c>
      <c r="B1" s="2"/>
      <c r="C1" s="2"/>
      <c r="D1" s="2"/>
    </row>
    <row r="2" ht="20.25" customHeight="1">
      <c r="A2" s="3"/>
      <c r="B2" s="3"/>
      <c r="C2" t="s" s="4">
        <v>1</v>
      </c>
      <c r="D2" t="s" s="4">
        <v>2</v>
      </c>
    </row>
    <row r="3" ht="20.25" customHeight="1">
      <c r="A3" t="s" s="5">
        <v>3</v>
      </c>
      <c r="B3" t="s" s="6">
        <v>4</v>
      </c>
      <c r="C3" s="7">
        <v>9.75</v>
      </c>
      <c r="D3" s="8">
        <v>12.76</v>
      </c>
    </row>
    <row r="4" ht="20.05" customHeight="1">
      <c r="A4" s="9"/>
      <c r="B4" t="s" s="10">
        <v>5</v>
      </c>
      <c r="C4" s="11">
        <v>0</v>
      </c>
      <c r="D4" s="12">
        <v>0</v>
      </c>
    </row>
    <row r="5" ht="20.05" customHeight="1">
      <c r="A5" s="9"/>
      <c r="B5" t="s" s="10">
        <v>6</v>
      </c>
      <c r="C5" s="13">
        <v>1173</v>
      </c>
      <c r="D5" s="14">
        <v>1173</v>
      </c>
    </row>
    <row r="6" ht="20.35" customHeight="1">
      <c r="A6" s="15"/>
      <c r="B6" t="s" s="16">
        <v>7</v>
      </c>
      <c r="C6" s="17">
        <v>1</v>
      </c>
      <c r="D6" s="18">
        <v>1</v>
      </c>
    </row>
    <row r="7" ht="20.35" customHeight="1">
      <c r="A7" t="s" s="19">
        <v>8</v>
      </c>
      <c r="B7" t="s" s="20">
        <v>9</v>
      </c>
      <c r="C7" s="21">
        <v>8000</v>
      </c>
      <c r="D7" s="22">
        <v>8000</v>
      </c>
    </row>
    <row r="8" ht="20.05" customHeight="1">
      <c r="A8" s="9"/>
      <c r="B8" t="s" s="10">
        <v>10</v>
      </c>
      <c r="C8" s="23">
        <v>0.32</v>
      </c>
      <c r="D8" s="24">
        <v>0.34</v>
      </c>
    </row>
    <row r="9" ht="20.05" customHeight="1">
      <c r="A9" s="9"/>
      <c r="B9" t="s" s="10">
        <v>11</v>
      </c>
      <c r="C9" s="23">
        <v>0.26</v>
      </c>
      <c r="D9" s="24">
        <v>0.21</v>
      </c>
    </row>
    <row r="10" ht="20.35" customHeight="1">
      <c r="A10" s="15"/>
      <c r="B10" t="s" s="16">
        <v>12</v>
      </c>
      <c r="C10" s="25">
        <f>1-C9</f>
        <v>0.74</v>
      </c>
      <c r="D10" s="26">
        <f>1-D9</f>
        <v>0.79</v>
      </c>
    </row>
    <row r="11" ht="20.35" customHeight="1">
      <c r="A11" t="s" s="19">
        <v>13</v>
      </c>
      <c r="B11" t="s" s="20">
        <v>14</v>
      </c>
      <c r="C11" s="21">
        <v>14300</v>
      </c>
      <c r="D11" s="22">
        <v>18900</v>
      </c>
    </row>
    <row r="12" ht="20.05" customHeight="1">
      <c r="A12" s="9"/>
      <c r="B12" t="s" s="10">
        <v>15</v>
      </c>
      <c r="C12" s="13">
        <v>0</v>
      </c>
      <c r="D12" s="14">
        <v>0</v>
      </c>
    </row>
    <row r="13" ht="20.85" customHeight="1">
      <c r="A13" s="9"/>
      <c r="B13" t="s" s="10">
        <v>16</v>
      </c>
      <c r="C13" s="27">
        <v>0</v>
      </c>
      <c r="D13" s="28">
        <v>0</v>
      </c>
    </row>
    <row r="14" ht="20.85" customHeight="1">
      <c r="A14" s="9"/>
      <c r="B14" t="s" s="10">
        <v>17</v>
      </c>
      <c r="C14" s="29">
        <f>SUM(C11:C13)</f>
        <v>14300</v>
      </c>
      <c r="D14" s="30">
        <f>SUM(D11:D13)</f>
        <v>18900</v>
      </c>
    </row>
    <row r="15" ht="20.05" customHeight="1">
      <c r="A15" s="9"/>
      <c r="B15" t="s" s="10">
        <v>18</v>
      </c>
      <c r="C15" s="31">
        <v>7.5</v>
      </c>
      <c r="D15" s="32">
        <v>7.5</v>
      </c>
    </row>
    <row r="16" ht="20.05" customHeight="1">
      <c r="A16" s="9"/>
      <c r="B16" t="s" s="10">
        <v>19</v>
      </c>
      <c r="C16" s="33">
        <v>0.005</v>
      </c>
      <c r="D16" s="34">
        <v>0.005</v>
      </c>
    </row>
    <row r="17" ht="20.05" customHeight="1">
      <c r="A17" s="9"/>
      <c r="B17" t="s" s="10">
        <v>20</v>
      </c>
      <c r="C17" s="31">
        <v>0.29</v>
      </c>
      <c r="D17" s="32">
        <v>0.29</v>
      </c>
    </row>
    <row r="18" ht="20.05" customHeight="1">
      <c r="A18" s="9"/>
      <c r="B18" t="s" s="10">
        <v>21</v>
      </c>
      <c r="C18" s="13">
        <v>140</v>
      </c>
      <c r="D18" s="14">
        <v>140</v>
      </c>
    </row>
    <row r="19" ht="20.05" customHeight="1">
      <c r="A19" s="9"/>
      <c r="B19" t="s" s="10">
        <v>22</v>
      </c>
      <c r="C19" s="35">
        <v>0.082</v>
      </c>
      <c r="D19" s="36">
        <v>0.07969999999999999</v>
      </c>
    </row>
    <row r="20" ht="20.05" customHeight="1">
      <c r="A20" s="9"/>
      <c r="B20" t="s" s="10">
        <v>23</v>
      </c>
      <c r="C20" s="33">
        <v>0.04</v>
      </c>
      <c r="D20" s="34">
        <v>0.04</v>
      </c>
    </row>
    <row r="21" ht="20.05" customHeight="1">
      <c r="A21" s="9"/>
      <c r="B21" t="s" s="10">
        <v>24</v>
      </c>
      <c r="C21" s="33">
        <v>0.02</v>
      </c>
      <c r="D21" s="34">
        <v>0.02</v>
      </c>
    </row>
    <row r="22" ht="20.05" customHeight="1">
      <c r="A22" s="9"/>
      <c r="B22" t="s" s="10">
        <v>25</v>
      </c>
      <c r="C22" s="33">
        <v>0.035</v>
      </c>
      <c r="D22" s="34">
        <v>0.035</v>
      </c>
    </row>
    <row r="23" ht="20.35" customHeight="1">
      <c r="A23" s="15"/>
      <c r="B23" t="s" s="16">
        <v>26</v>
      </c>
      <c r="C23" s="37">
        <v>20</v>
      </c>
      <c r="D23" s="38">
        <v>20</v>
      </c>
    </row>
    <row r="24" ht="20.35" customHeight="1">
      <c r="A24" s="39"/>
      <c r="B24" s="40"/>
      <c r="C24" s="41"/>
      <c r="D24" s="42"/>
    </row>
    <row r="25" ht="20.05" customHeight="1">
      <c r="A25" t="s" s="43">
        <v>27</v>
      </c>
      <c r="B25" t="s" s="10">
        <v>28</v>
      </c>
      <c r="C25" s="44">
        <f>C3*C5*C6</f>
        <v>11436.75</v>
      </c>
      <c r="D25" s="45">
        <f>D3*D5*D6</f>
        <v>14967.48</v>
      </c>
    </row>
    <row r="26" ht="20.05" customHeight="1">
      <c r="A26" s="9"/>
      <c r="B26" t="s" s="10">
        <v>29</v>
      </c>
      <c r="C26" s="44">
        <f>C25*C9</f>
        <v>2973.555</v>
      </c>
      <c r="D26" s="45">
        <f>D25*D9</f>
        <v>3143.1708</v>
      </c>
    </row>
    <row r="27" ht="20.05" customHeight="1">
      <c r="A27" s="9"/>
      <c r="B27" t="s" s="10">
        <v>30</v>
      </c>
      <c r="C27" s="44">
        <f>C25*(1-C9)</f>
        <v>8463.195</v>
      </c>
      <c r="D27" s="45">
        <f>D25*(1-D9)</f>
        <v>11824.3092</v>
      </c>
    </row>
    <row r="28" ht="20.35" customHeight="1">
      <c r="A28" s="15"/>
      <c r="B28" t="s" s="16">
        <v>31</v>
      </c>
      <c r="C28" s="46">
        <f>C7*(1-C8)</f>
        <v>5440</v>
      </c>
      <c r="D28" s="47">
        <f>D7*(1-D8)</f>
        <v>5280</v>
      </c>
    </row>
    <row r="29" ht="20.35" customHeight="1">
      <c r="A29" s="39"/>
      <c r="B29" s="40"/>
      <c r="C29" s="41"/>
      <c r="D29" s="42"/>
    </row>
    <row r="30" ht="20.05" customHeight="1">
      <c r="A30" t="s" s="43">
        <v>32</v>
      </c>
      <c r="B30" t="s" s="10">
        <v>33</v>
      </c>
      <c r="C30" s="44">
        <f>(C11+C12)*C16</f>
        <v>71.5</v>
      </c>
      <c r="D30" s="45">
        <f>(D11+D12)*D16</f>
        <v>94.5</v>
      </c>
    </row>
    <row r="31" ht="20.05" customHeight="1">
      <c r="A31" s="9"/>
      <c r="B31" t="s" s="10">
        <v>34</v>
      </c>
      <c r="C31" s="44">
        <f>C15*C3</f>
        <v>73.125</v>
      </c>
      <c r="D31" s="45">
        <f>D15*D3</f>
        <v>95.7</v>
      </c>
    </row>
    <row r="32" ht="20.05" customHeight="1">
      <c r="A32" s="9"/>
      <c r="B32" t="s" s="10">
        <v>35</v>
      </c>
      <c r="C32" s="44">
        <f>C27*C19</f>
        <v>693.98199</v>
      </c>
      <c r="D32" s="45">
        <f>D27*D19</f>
        <v>942.39744324</v>
      </c>
    </row>
    <row r="33" ht="20.35" customHeight="1">
      <c r="A33" s="15"/>
      <c r="B33" t="s" s="16">
        <v>36</v>
      </c>
      <c r="C33" s="46">
        <f>C26*C17</f>
        <v>862.33095</v>
      </c>
      <c r="D33" s="47">
        <f>D26*D17</f>
        <v>911.519532</v>
      </c>
    </row>
    <row r="34" ht="20.35" customHeight="1">
      <c r="A34" s="39"/>
      <c r="B34" s="40"/>
      <c r="C34" s="41"/>
      <c r="D34" s="42"/>
    </row>
    <row r="35" ht="20.05" customHeight="1">
      <c r="A35" t="s" s="43">
        <v>37</v>
      </c>
      <c r="B35" t="s" s="10">
        <v>38</v>
      </c>
      <c r="C35" s="44">
        <f>C32+C33</f>
        <v>1556.31294</v>
      </c>
      <c r="D35" s="45">
        <f>D32+D33</f>
        <v>1853.91697524</v>
      </c>
    </row>
    <row r="36" ht="20.85" customHeight="1">
      <c r="A36" s="9"/>
      <c r="B36" t="s" s="10">
        <v>39</v>
      </c>
      <c r="C36" s="48">
        <f>C30+C31</f>
        <v>144.625</v>
      </c>
      <c r="D36" s="49">
        <f>D30+D31</f>
        <v>190.2</v>
      </c>
    </row>
    <row r="37" ht="20.85" customHeight="1">
      <c r="A37" s="9"/>
      <c r="B37" t="s" s="10">
        <v>40</v>
      </c>
      <c r="C37" s="29">
        <f>C35-C36</f>
        <v>1411.68794</v>
      </c>
      <c r="D37" s="30">
        <f>D35-D36</f>
        <v>1663.71697524</v>
      </c>
    </row>
    <row r="38" ht="20.05" customHeight="1">
      <c r="A38" s="9"/>
      <c r="B38" t="s" s="10">
        <v>41</v>
      </c>
      <c r="C38" s="50">
        <f>C14/C37</f>
        <v>10.129717478496</v>
      </c>
      <c r="D38" s="51">
        <f>D14/D37</f>
        <v>11.3601052830957</v>
      </c>
    </row>
  </sheetData>
  <mergeCells count="7">
    <mergeCell ref="A1:D1"/>
    <mergeCell ref="A3:A6"/>
    <mergeCell ref="A7:A10"/>
    <mergeCell ref="A25:A28"/>
    <mergeCell ref="A11:A23"/>
    <mergeCell ref="A35:A37"/>
    <mergeCell ref="A30:A33"/>
  </mergeCells>
  <pageMargins left="0.5" right="0.5" top="0.75" bottom="0.75" header="0.277778" footer="0.277778"/>
  <pageSetup firstPageNumber="1" fitToHeight="1" fitToWidth="1" scale="72" useFirstPageNumber="0" orientation="portrait" pageOrder="downThenOver"/>
  <headerFooter>
    <oddFooter>&amp;C&amp;"Helvetica Neue,Regular"&amp;12&amp;K000000&amp;P</oddFooter>
  </headerFooter>
</worksheet>
</file>

<file path=xl/worksheets/sheet10.xml><?xml version="1.0" encoding="utf-8"?>
<worksheet xmlns:r="http://schemas.openxmlformats.org/officeDocument/2006/relationships" xmlns="http://schemas.openxmlformats.org/spreadsheetml/2006/main">
  <sheetPr>
    <pageSetUpPr fitToPage="1"/>
  </sheetPr>
  <dimension ref="A2:F24"/>
  <sheetViews>
    <sheetView workbookViewId="0" showGridLines="0" defaultGridColor="1">
      <pane topLeftCell="B3" xSplit="1" ySplit="2" activePane="bottomRight" state="frozen"/>
    </sheetView>
  </sheetViews>
  <sheetFormatPr defaultColWidth="16.3333" defaultRowHeight="19.9" customHeight="1" outlineLevelRow="0" outlineLevelCol="0"/>
  <cols>
    <col min="1" max="1" width="18.1406" style="108" customWidth="1"/>
    <col min="2" max="6" width="16.3516" style="108" customWidth="1"/>
    <col min="7" max="16384" width="16.3516" style="108" customWidth="1"/>
  </cols>
  <sheetData>
    <row r="1" ht="27.65" customHeight="1">
      <c r="A1" t="s" s="2">
        <v>98</v>
      </c>
      <c r="B1" s="2"/>
      <c r="C1" s="2"/>
      <c r="D1" s="2"/>
      <c r="E1" s="2"/>
      <c r="F1" s="2"/>
    </row>
    <row r="2" ht="20.25" customHeight="1">
      <c r="A2" t="s" s="53">
        <v>43</v>
      </c>
      <c r="B2" t="s" s="53">
        <v>99</v>
      </c>
      <c r="C2" t="s" s="53">
        <v>100</v>
      </c>
      <c r="D2" t="s" s="53">
        <v>101</v>
      </c>
      <c r="E2" s="3"/>
      <c r="F2" s="3"/>
    </row>
    <row r="3" ht="20.25" customHeight="1">
      <c r="A3" t="s" s="6">
        <v>64</v>
      </c>
      <c r="B3" s="75">
        <v>8</v>
      </c>
      <c r="C3" s="76"/>
      <c r="D3" s="76"/>
      <c r="E3" s="76">
        <f>-B4+E4</f>
        <v>-9933.0886317683</v>
      </c>
      <c r="F3" t="s" s="109">
        <v>47</v>
      </c>
    </row>
    <row r="4" ht="20.05" customHeight="1">
      <c r="A4" s="58">
        <v>0</v>
      </c>
      <c r="B4" s="44">
        <v>20000</v>
      </c>
      <c r="C4" s="45"/>
      <c r="D4" s="45"/>
      <c r="E4" s="45">
        <f>SUM(E5:E9)</f>
        <v>10066.9113682317</v>
      </c>
      <c r="F4" t="s" s="110">
        <v>65</v>
      </c>
    </row>
    <row r="5" ht="20.05" customHeight="1">
      <c r="A5" s="58">
        <v>1</v>
      </c>
      <c r="B5" s="44">
        <v>1000</v>
      </c>
      <c r="C5" s="45">
        <v>3000</v>
      </c>
      <c r="D5" s="45">
        <f>C5-B5</f>
        <v>2000</v>
      </c>
      <c r="E5" s="45">
        <f>D5/(1+$B$3/100)^$A5</f>
        <v>1851.851851851850</v>
      </c>
      <c r="F5" s="45"/>
    </row>
    <row r="6" ht="20.05" customHeight="1">
      <c r="A6" s="58">
        <v>2</v>
      </c>
      <c r="B6" s="44">
        <v>1200</v>
      </c>
      <c r="C6" s="45">
        <v>3500</v>
      </c>
      <c r="D6" s="45">
        <f>C6-B6</f>
        <v>2300</v>
      </c>
      <c r="E6" s="45">
        <f>D6/(1+$B$3/100)^$A6</f>
        <v>1971.8792866941</v>
      </c>
      <c r="F6" s="45"/>
    </row>
    <row r="7" ht="20.05" customHeight="1">
      <c r="A7" s="58">
        <v>3</v>
      </c>
      <c r="B7" s="44">
        <v>1300</v>
      </c>
      <c r="C7" s="45">
        <v>4000</v>
      </c>
      <c r="D7" s="45">
        <f>C7-B7</f>
        <v>2700</v>
      </c>
      <c r="E7" s="45">
        <f>D7/(1+$B$3/100)^$A7</f>
        <v>2143.347050754460</v>
      </c>
      <c r="F7" s="45"/>
    </row>
    <row r="8" ht="20.05" customHeight="1">
      <c r="A8" s="58">
        <v>4</v>
      </c>
      <c r="B8" s="44">
        <v>1400</v>
      </c>
      <c r="C8" s="45">
        <v>4200</v>
      </c>
      <c r="D8" s="45">
        <f>C8-B8</f>
        <v>2800</v>
      </c>
      <c r="E8" s="45">
        <f>D8/(1+$B$3/100)^$A8</f>
        <v>2058.083587830070</v>
      </c>
      <c r="F8" s="45"/>
    </row>
    <row r="9" ht="20.05" customHeight="1">
      <c r="A9" s="58">
        <v>5</v>
      </c>
      <c r="B9" s="44">
        <v>1500</v>
      </c>
      <c r="C9" s="45">
        <v>4500</v>
      </c>
      <c r="D9" s="45">
        <f>C9-B9</f>
        <v>3000</v>
      </c>
      <c r="E9" s="45">
        <f>D9/(1+$B$3/100)^$A9</f>
        <v>2041.749591101260</v>
      </c>
      <c r="F9" s="45"/>
    </row>
    <row r="10" ht="20.05" customHeight="1">
      <c r="A10" s="58">
        <v>6</v>
      </c>
      <c r="B10" s="67"/>
      <c r="C10" s="68"/>
      <c r="D10" s="68"/>
      <c r="E10" s="79"/>
      <c r="F10" s="79"/>
    </row>
    <row r="11" ht="20.05" customHeight="1">
      <c r="A11" s="58">
        <v>7</v>
      </c>
      <c r="B11" s="67"/>
      <c r="C11" s="68"/>
      <c r="D11" s="68"/>
      <c r="E11" s="79"/>
      <c r="F11" s="79"/>
    </row>
    <row r="12" ht="20.05" customHeight="1">
      <c r="A12" s="58">
        <v>8</v>
      </c>
      <c r="B12" s="67"/>
      <c r="C12" s="68"/>
      <c r="D12" s="68"/>
      <c r="E12" s="79"/>
      <c r="F12" s="79"/>
    </row>
    <row r="13" ht="20.05" customHeight="1">
      <c r="A13" s="58">
        <v>9</v>
      </c>
      <c r="B13" s="67"/>
      <c r="C13" s="68"/>
      <c r="D13" s="68"/>
      <c r="E13" s="79"/>
      <c r="F13" s="79"/>
    </row>
    <row r="14" ht="20.05" customHeight="1">
      <c r="A14" s="58">
        <v>10</v>
      </c>
      <c r="B14" s="67"/>
      <c r="C14" s="68"/>
      <c r="D14" s="68"/>
      <c r="E14" s="79"/>
      <c r="F14" s="79"/>
    </row>
    <row r="15" ht="20.05" customHeight="1">
      <c r="A15" s="58">
        <v>11</v>
      </c>
      <c r="B15" s="67"/>
      <c r="C15" s="68"/>
      <c r="D15" s="68"/>
      <c r="E15" s="79"/>
      <c r="F15" s="79"/>
    </row>
    <row r="16" ht="20.05" customHeight="1">
      <c r="A16" s="58">
        <v>12</v>
      </c>
      <c r="B16" s="67"/>
      <c r="C16" s="68"/>
      <c r="D16" s="68"/>
      <c r="E16" s="79"/>
      <c r="F16" s="79"/>
    </row>
    <row r="17" ht="20.05" customHeight="1">
      <c r="A17" s="58">
        <v>13</v>
      </c>
      <c r="B17" s="67"/>
      <c r="C17" s="68"/>
      <c r="D17" s="68"/>
      <c r="E17" s="79"/>
      <c r="F17" s="79"/>
    </row>
    <row r="18" ht="20.05" customHeight="1">
      <c r="A18" s="58">
        <v>14</v>
      </c>
      <c r="B18" s="67"/>
      <c r="C18" s="68"/>
      <c r="D18" s="68"/>
      <c r="E18" s="79"/>
      <c r="F18" s="79"/>
    </row>
    <row r="19" ht="20.05" customHeight="1">
      <c r="A19" s="58">
        <v>15</v>
      </c>
      <c r="B19" s="67"/>
      <c r="C19" s="68"/>
      <c r="D19" s="68"/>
      <c r="E19" s="79"/>
      <c r="F19" s="79"/>
    </row>
    <row r="20" ht="20.05" customHeight="1">
      <c r="A20" s="58">
        <v>16</v>
      </c>
      <c r="B20" s="67"/>
      <c r="C20" s="68"/>
      <c r="D20" s="68"/>
      <c r="E20" s="79"/>
      <c r="F20" s="79"/>
    </row>
    <row r="21" ht="20.05" customHeight="1">
      <c r="A21" s="58">
        <v>17</v>
      </c>
      <c r="B21" s="67"/>
      <c r="C21" s="68"/>
      <c r="D21" s="68"/>
      <c r="E21" s="79"/>
      <c r="F21" s="79"/>
    </row>
    <row r="22" ht="20.05" customHeight="1">
      <c r="A22" s="58">
        <v>18</v>
      </c>
      <c r="B22" s="67"/>
      <c r="C22" s="68"/>
      <c r="D22" s="68"/>
      <c r="E22" s="79"/>
      <c r="F22" s="79"/>
    </row>
    <row r="23" ht="20.05" customHeight="1">
      <c r="A23" s="58">
        <v>19</v>
      </c>
      <c r="B23" s="67"/>
      <c r="C23" s="68"/>
      <c r="D23" s="68"/>
      <c r="E23" s="79"/>
      <c r="F23" s="79"/>
    </row>
    <row r="24" ht="20.05" customHeight="1">
      <c r="A24" s="58">
        <v>20</v>
      </c>
      <c r="B24" s="67"/>
      <c r="C24" s="68"/>
      <c r="D24" s="68"/>
      <c r="E24" s="79"/>
      <c r="F24" s="79"/>
    </row>
  </sheetData>
  <mergeCells count="1">
    <mergeCell ref="A1:F1"/>
  </mergeCell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2.xml><?xml version="1.0" encoding="utf-8"?>
<worksheet xmlns:r="http://schemas.openxmlformats.org/officeDocument/2006/relationships" xmlns="http://schemas.openxmlformats.org/spreadsheetml/2006/main">
  <sheetPr>
    <pageSetUpPr fitToPage="1"/>
  </sheetPr>
  <dimension ref="A2:D22"/>
  <sheetViews>
    <sheetView workbookViewId="0" showGridLines="0" defaultGridColor="1">
      <pane topLeftCell="C3" xSplit="2" ySplit="2" activePane="bottomRight" state="frozen"/>
    </sheetView>
  </sheetViews>
  <sheetFormatPr defaultColWidth="16.3333" defaultRowHeight="19.9" customHeight="1" outlineLevelRow="0" outlineLevelCol="0"/>
  <cols>
    <col min="1" max="1" width="18.8828" style="52" customWidth="1"/>
    <col min="2" max="2" width="16.9375" style="52" customWidth="1"/>
    <col min="3" max="4" width="16.5391" style="52" customWidth="1"/>
    <col min="5" max="16384" width="16.3516" style="52" customWidth="1"/>
  </cols>
  <sheetData>
    <row r="1" ht="27.65" customHeight="1">
      <c r="A1" t="s" s="2">
        <v>42</v>
      </c>
      <c r="B1" s="2"/>
      <c r="C1" s="2"/>
      <c r="D1" s="2"/>
    </row>
    <row r="2" ht="20.25" customHeight="1">
      <c r="A2" s="3"/>
      <c r="B2" t="s" s="53">
        <v>43</v>
      </c>
      <c r="C2" t="s" s="54">
        <f>'Anlagen Spezifikation'!C$2</f>
        <v>1</v>
      </c>
      <c r="D2" t="s" s="54">
        <f>'Anlagen Spezifikation'!D$2</f>
        <v>2</v>
      </c>
    </row>
    <row r="3" ht="20.25" customHeight="1">
      <c r="A3" t="s" s="5">
        <v>42</v>
      </c>
      <c r="B3" s="55">
        <v>1</v>
      </c>
      <c r="C3" s="56">
        <v>0</v>
      </c>
      <c r="D3" s="57">
        <v>0</v>
      </c>
    </row>
    <row r="4" ht="20.05" customHeight="1">
      <c r="A4" s="9"/>
      <c r="B4" s="58">
        <f>$B3+1</f>
        <v>2</v>
      </c>
      <c r="C4" s="13">
        <v>0</v>
      </c>
      <c r="D4" s="14">
        <v>0</v>
      </c>
    </row>
    <row r="5" ht="20.05" customHeight="1">
      <c r="A5" s="9"/>
      <c r="B5" s="58">
        <f>$B4+1</f>
        <v>3</v>
      </c>
      <c r="C5" s="13">
        <v>0</v>
      </c>
      <c r="D5" s="14">
        <v>0</v>
      </c>
    </row>
    <row r="6" ht="20.05" customHeight="1">
      <c r="A6" s="9"/>
      <c r="B6" s="58">
        <f>$B5+1</f>
        <v>4</v>
      </c>
      <c r="C6" s="13">
        <v>0</v>
      </c>
      <c r="D6" s="14">
        <v>0</v>
      </c>
    </row>
    <row r="7" ht="20.05" customHeight="1">
      <c r="A7" s="9"/>
      <c r="B7" s="58">
        <f>$B6+1</f>
        <v>5</v>
      </c>
      <c r="C7" s="13">
        <v>0</v>
      </c>
      <c r="D7" s="14">
        <v>0</v>
      </c>
    </row>
    <row r="8" ht="20.05" customHeight="1">
      <c r="A8" s="9"/>
      <c r="B8" s="58">
        <f>$B7+1</f>
        <v>6</v>
      </c>
      <c r="C8" s="13">
        <v>0</v>
      </c>
      <c r="D8" s="14">
        <v>0</v>
      </c>
    </row>
    <row r="9" ht="20.05" customHeight="1">
      <c r="A9" s="9"/>
      <c r="B9" s="58">
        <f>$B8+1</f>
        <v>7</v>
      </c>
      <c r="C9" s="13">
        <v>0</v>
      </c>
      <c r="D9" s="14">
        <v>0</v>
      </c>
    </row>
    <row r="10" ht="20.05" customHeight="1">
      <c r="A10" s="9"/>
      <c r="B10" s="58">
        <f>$B9+1</f>
        <v>8</v>
      </c>
      <c r="C10" s="13">
        <v>0</v>
      </c>
      <c r="D10" s="14">
        <v>0</v>
      </c>
    </row>
    <row r="11" ht="20.05" customHeight="1">
      <c r="A11" s="9"/>
      <c r="B11" s="58">
        <f>$B10+1</f>
        <v>9</v>
      </c>
      <c r="C11" s="13">
        <v>0</v>
      </c>
      <c r="D11" s="14">
        <v>0</v>
      </c>
    </row>
    <row r="12" ht="20.05" customHeight="1">
      <c r="A12" s="9"/>
      <c r="B12" s="58">
        <f>$B11+1</f>
        <v>10</v>
      </c>
      <c r="C12" s="13">
        <v>0</v>
      </c>
      <c r="D12" s="14">
        <v>0</v>
      </c>
    </row>
    <row r="13" ht="20.05" customHeight="1">
      <c r="A13" s="9"/>
      <c r="B13" s="58">
        <f>$B12+1</f>
        <v>11</v>
      </c>
      <c r="C13" s="13">
        <v>0</v>
      </c>
      <c r="D13" s="14">
        <v>0</v>
      </c>
    </row>
    <row r="14" ht="20.05" customHeight="1">
      <c r="A14" s="9"/>
      <c r="B14" s="58">
        <f>$B13+1</f>
        <v>12</v>
      </c>
      <c r="C14" s="13">
        <v>0</v>
      </c>
      <c r="D14" s="14">
        <v>0</v>
      </c>
    </row>
    <row r="15" ht="20.05" customHeight="1">
      <c r="A15" s="9"/>
      <c r="B15" s="58">
        <f>$B14+1</f>
        <v>13</v>
      </c>
      <c r="C15" s="13">
        <v>0</v>
      </c>
      <c r="D15" s="14">
        <v>0</v>
      </c>
    </row>
    <row r="16" ht="20.05" customHeight="1">
      <c r="A16" s="9"/>
      <c r="B16" s="58">
        <f>$B15+1</f>
        <v>14</v>
      </c>
      <c r="C16" s="13">
        <v>0</v>
      </c>
      <c r="D16" s="14">
        <v>0</v>
      </c>
    </row>
    <row r="17" ht="20.05" customHeight="1">
      <c r="A17" s="9"/>
      <c r="B17" s="58">
        <f>$B16+1</f>
        <v>15</v>
      </c>
      <c r="C17" s="13">
        <v>0</v>
      </c>
      <c r="D17" s="14">
        <v>0</v>
      </c>
    </row>
    <row r="18" ht="20.05" customHeight="1">
      <c r="A18" s="9"/>
      <c r="B18" s="58">
        <f>$B17+1</f>
        <v>16</v>
      </c>
      <c r="C18" s="13">
        <v>0</v>
      </c>
      <c r="D18" s="14">
        <v>0</v>
      </c>
    </row>
    <row r="19" ht="20.05" customHeight="1">
      <c r="A19" s="9"/>
      <c r="B19" s="58">
        <f>$B18+1</f>
        <v>17</v>
      </c>
      <c r="C19" s="13">
        <v>0</v>
      </c>
      <c r="D19" s="14">
        <v>0</v>
      </c>
    </row>
    <row r="20" ht="20.05" customHeight="1">
      <c r="A20" s="9"/>
      <c r="B20" s="58">
        <f>$B19+1</f>
        <v>18</v>
      </c>
      <c r="C20" s="13">
        <v>0</v>
      </c>
      <c r="D20" s="14">
        <v>0</v>
      </c>
    </row>
    <row r="21" ht="20.05" customHeight="1">
      <c r="A21" s="9"/>
      <c r="B21" s="58">
        <f>$B20+1</f>
        <v>19</v>
      </c>
      <c r="C21" s="13">
        <v>0</v>
      </c>
      <c r="D21" s="14">
        <v>0</v>
      </c>
    </row>
    <row r="22" ht="20.05" customHeight="1">
      <c r="A22" s="9"/>
      <c r="B22" s="58">
        <f>$B21+1</f>
        <v>20</v>
      </c>
      <c r="C22" s="13">
        <v>0</v>
      </c>
      <c r="D22" s="14">
        <v>0</v>
      </c>
    </row>
  </sheetData>
  <mergeCells count="2">
    <mergeCell ref="A1:D1"/>
    <mergeCell ref="A3:A22"/>
  </mergeCell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3.xml><?xml version="1.0" encoding="utf-8"?>
<worksheet xmlns:r="http://schemas.openxmlformats.org/officeDocument/2006/relationships" xmlns="http://schemas.openxmlformats.org/spreadsheetml/2006/main">
  <sheetPr>
    <pageSetUpPr fitToPage="1"/>
  </sheetPr>
  <dimension ref="A2:C13"/>
  <sheetViews>
    <sheetView workbookViewId="0" showGridLines="0" defaultGridColor="1">
      <pane topLeftCell="B3" xSplit="1" ySplit="2" activePane="bottomRight" state="frozen"/>
    </sheetView>
  </sheetViews>
  <sheetFormatPr defaultColWidth="16.3333" defaultRowHeight="19.9" customHeight="1" outlineLevelRow="0" outlineLevelCol="0"/>
  <cols>
    <col min="1" max="1" width="31.1719" style="59" customWidth="1"/>
    <col min="2" max="3" width="16.5391" style="59" customWidth="1"/>
    <col min="4" max="16384" width="16.3516" style="59" customWidth="1"/>
  </cols>
  <sheetData>
    <row r="1" ht="27.65" customHeight="1">
      <c r="A1" t="s" s="2">
        <v>44</v>
      </c>
      <c r="B1" s="2"/>
      <c r="C1" s="2"/>
    </row>
    <row r="2" ht="20.25" customHeight="1">
      <c r="A2" t="s" s="53">
        <v>45</v>
      </c>
      <c r="B2" t="s" s="54">
        <f>'Anlagen Spezifikation'!C$2</f>
        <v>1</v>
      </c>
      <c r="C2" t="s" s="54">
        <f>'Anlagen Spezifikation'!D$2</f>
        <v>2</v>
      </c>
    </row>
    <row r="3" ht="20.25" customHeight="1">
      <c r="A3" t="s" s="6">
        <f>'Anlagen Spezifikation'!$B3</f>
        <v>4</v>
      </c>
      <c r="B3" s="60">
        <f>'Anlagen Spezifikation'!C3</f>
        <v>9.75</v>
      </c>
      <c r="C3" s="61">
        <f>'Anlagen Spezifikation'!D3</f>
        <v>12.76</v>
      </c>
    </row>
    <row r="4" ht="20.05" customHeight="1">
      <c r="A4" t="s" s="10">
        <f>'Anlagen Spezifikation'!$B4</f>
        <v>5</v>
      </c>
      <c r="B4" s="62">
        <f>'Anlagen Spezifikation'!C4</f>
        <v>0</v>
      </c>
      <c r="C4" s="63">
        <f>'Anlagen Spezifikation'!D4</f>
        <v>0</v>
      </c>
    </row>
    <row r="5" ht="20.05" customHeight="1">
      <c r="A5" t="s" s="10">
        <f>'Anlagen Spezifikation'!$B14</f>
        <v>17</v>
      </c>
      <c r="B5" s="44">
        <f>'Anlagen Spezifikation'!C14</f>
        <v>14300</v>
      </c>
      <c r="C5" s="45">
        <f>'Anlagen Spezifikation'!D14</f>
        <v>18900</v>
      </c>
    </row>
    <row r="6" ht="20.05" customHeight="1">
      <c r="A6" t="s" s="10">
        <f>'Anlagen Spezifikation'!$B37</f>
        <v>40</v>
      </c>
      <c r="B6" s="44">
        <f>'Anlagen Spezifikation'!C37</f>
        <v>1411.68794</v>
      </c>
      <c r="C6" s="45">
        <f>'Anlagen Spezifikation'!D37</f>
        <v>1663.71697524</v>
      </c>
    </row>
    <row r="7" ht="20.05" customHeight="1">
      <c r="A7" t="s" s="10">
        <f>'Anlagen Spezifikation'!$B22</f>
        <v>25</v>
      </c>
      <c r="B7" s="64">
        <f>'Anlagen Spezifikation'!C22</f>
        <v>0.035</v>
      </c>
      <c r="C7" s="65">
        <f>'Anlagen Spezifikation'!D22</f>
        <v>0.035</v>
      </c>
    </row>
    <row r="8" ht="20.05" customHeight="1">
      <c r="A8" s="66"/>
      <c r="B8" s="67"/>
      <c r="C8" s="68"/>
    </row>
    <row r="9" ht="20.05" customHeight="1">
      <c r="A9" t="s" s="10">
        <f>'Dynamische Amortisation'!$A4</f>
        <v>46</v>
      </c>
      <c r="B9" s="44">
        <f>'Kapitalwertmethode'!C4</f>
        <v>29134.7344633501</v>
      </c>
      <c r="C9" s="45">
        <f>'Kapitalwertmethode'!D4</f>
        <v>33286.2397376876</v>
      </c>
    </row>
    <row r="10" ht="20.05" customHeight="1">
      <c r="A10" t="s" s="10">
        <v>47</v>
      </c>
      <c r="B10" s="44">
        <f>'Kapitalwertmethode'!C5</f>
        <v>14834.7344633501</v>
      </c>
      <c r="C10" s="45">
        <f>'Kapitalwertmethode'!D5</f>
        <v>14386.2397376876</v>
      </c>
    </row>
    <row r="11" ht="20.05" customHeight="1">
      <c r="A11" t="s" s="10">
        <f>'Dynamische Amortisation'!$A5</f>
        <v>48</v>
      </c>
      <c r="B11" s="69">
        <f>'Dynamische Amortisation'!C5</f>
        <v>11</v>
      </c>
      <c r="C11" s="70">
        <f>'Dynamische Amortisation'!D5</f>
        <v>12</v>
      </c>
    </row>
    <row r="12" ht="20.05" customHeight="1">
      <c r="A12" t="s" s="10">
        <f>'Annuitätsmethode'!$A12</f>
        <v>49</v>
      </c>
      <c r="B12" s="44">
        <f>'Annuitätsmethode'!B12</f>
        <v>595.910018594397</v>
      </c>
      <c r="C12" s="45">
        <f>'Annuitätsmethode'!C12</f>
        <v>577.894023702860</v>
      </c>
    </row>
    <row r="13" ht="20.05" customHeight="1">
      <c r="A13" t="s" s="10">
        <v>50</v>
      </c>
      <c r="B13" s="71">
        <f>'Zinsfussmethode'!C5</f>
        <v>0.0898443096126029</v>
      </c>
      <c r="C13" s="72">
        <f>'Zinsfussmethode'!D5</f>
        <v>0.0692342537816905</v>
      </c>
    </row>
  </sheetData>
  <mergeCells count="1">
    <mergeCell ref="A1:C1"/>
  </mergeCells>
  <conditionalFormatting sqref="B10:C10">
    <cfRule type="cellIs" dxfId="0" priority="1" operator="lessThan" stopIfTrue="1">
      <formula>0</formula>
    </cfRule>
    <cfRule type="cellIs" dxfId="1" priority="2" operator="equal" stopIfTrue="1">
      <formula>0</formula>
    </cfRule>
    <cfRule type="cellIs" dxfId="2" priority="3" operator="greaterThan" stopIfTrue="1">
      <formula>0</formula>
    </cfRule>
  </conditionalFormatting>
  <conditionalFormatting sqref="B11:C11">
    <cfRule type="cellIs" dxfId="3" priority="1" operator="greaterThan" stopIfTrue="1">
      <formula>16</formula>
    </cfRule>
    <cfRule type="cellIs" dxfId="4" priority="2" operator="greaterThan" stopIfTrue="1">
      <formula>12</formula>
    </cfRule>
    <cfRule type="cellIs" dxfId="5" priority="3" operator="lessThanOrEqual" stopIfTrue="1">
      <formula>12</formula>
    </cfRule>
    <cfRule type="cellIs" dxfId="6" priority="4" operator="equal" stopIfTrue="1">
      <formula>"&gt;20"</formula>
    </cfRule>
  </conditionalFormatting>
  <conditionalFormatting sqref="B12:C12">
    <cfRule type="cellIs" dxfId="7" priority="1" operator="lessThan" stopIfTrue="1">
      <formula>0</formula>
    </cfRule>
    <cfRule type="cellIs" dxfId="8" priority="2" operator="greaterThan" stopIfTrue="1">
      <formula>0</formula>
    </cfRule>
    <cfRule type="cellIs" dxfId="9" priority="3" operator="equal" stopIfTrue="1">
      <formula>0</formula>
    </cfRule>
  </conditionalFormatting>
  <conditionalFormatting sqref="B13:C13">
    <cfRule type="cellIs" dxfId="10" priority="1" operator="lessThan" stopIfTrue="1">
      <formula>B$7</formula>
    </cfRule>
    <cfRule type="cellIs" dxfId="11" priority="2" operator="equal" stopIfTrue="1">
      <formula>B$7</formula>
    </cfRule>
    <cfRule type="cellIs" dxfId="12" priority="3" operator="greaterThan" stopIfTrue="1">
      <formula>B$7</formula>
    </cfRule>
  </conditionalFormatting>
  <pageMargins left="1" right="1" top="1" bottom="1" header="0.25" footer="0.25"/>
  <pageSetup firstPageNumber="1" fitToHeight="1" fitToWidth="1" scale="100" useFirstPageNumber="0" orientation="portrait" pageOrder="downThenOver"/>
  <headerFooter>
    <oddFooter>&amp;C&amp;"Helvetica Neue,Regular"&amp;12&amp;K000000&amp;P</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dimension ref="A2:D131"/>
  <sheetViews>
    <sheetView workbookViewId="0" showGridLines="0" defaultGridColor="1">
      <pane topLeftCell="C3" xSplit="2" ySplit="2" activePane="bottomRight" state="frozen"/>
    </sheetView>
  </sheetViews>
  <sheetFormatPr defaultColWidth="16.3333" defaultRowHeight="19.9" customHeight="1" outlineLevelRow="0" outlineLevelCol="0"/>
  <cols>
    <col min="1" max="1" width="18.8828" style="73" customWidth="1"/>
    <col min="2" max="2" width="16.9375" style="73" customWidth="1"/>
    <col min="3" max="4" width="16.5391" style="73" customWidth="1"/>
    <col min="5" max="16384" width="16.3516" style="73" customWidth="1"/>
  </cols>
  <sheetData>
    <row r="1" ht="27.65" customHeight="1">
      <c r="A1" t="s" s="2">
        <v>51</v>
      </c>
      <c r="B1" s="2"/>
      <c r="C1" s="2"/>
      <c r="D1" s="2"/>
    </row>
    <row r="2" ht="20.25" customHeight="1">
      <c r="A2" s="3"/>
      <c r="B2" t="s" s="53">
        <v>43</v>
      </c>
      <c r="C2" t="s" s="54">
        <f>'Anlagen Spezifikation'!C$2</f>
        <v>1</v>
      </c>
      <c r="D2" t="s" s="54">
        <f>'Anlagen Spezifikation'!D$2</f>
        <v>2</v>
      </c>
    </row>
    <row r="3" ht="20.25" customHeight="1">
      <c r="A3" s="74"/>
      <c r="B3" t="s" s="6">
        <v>52</v>
      </c>
      <c r="C3" s="75">
        <f>SUM(C7:C26)</f>
        <v>28233.7588</v>
      </c>
      <c r="D3" s="76">
        <f>SUM(D7:D26)</f>
        <v>33274.3395048</v>
      </c>
    </row>
    <row r="4" ht="20.05" customHeight="1">
      <c r="A4" s="9"/>
      <c r="B4" t="s" s="10">
        <v>53</v>
      </c>
      <c r="C4" s="44">
        <f>'Anlagen Spezifikation'!C14</f>
        <v>14300</v>
      </c>
      <c r="D4" s="45">
        <f>'Anlagen Spezifikation'!D14</f>
        <v>18900</v>
      </c>
    </row>
    <row r="5" ht="20.05" customHeight="1">
      <c r="A5" s="9"/>
      <c r="B5" t="s" s="10">
        <v>54</v>
      </c>
      <c r="C5" s="44">
        <f>C3-C4</f>
        <v>13933.7588</v>
      </c>
      <c r="D5" s="45">
        <f>D3-D4</f>
        <v>14374.3395048</v>
      </c>
    </row>
    <row r="6" ht="20.05" customHeight="1">
      <c r="A6" s="9"/>
      <c r="B6" s="66"/>
      <c r="C6" s="77"/>
      <c r="D6" s="68"/>
    </row>
    <row r="7" ht="20.05" customHeight="1">
      <c r="A7" t="s" s="43">
        <v>51</v>
      </c>
      <c r="B7" s="58">
        <v>1</v>
      </c>
      <c r="C7" s="44">
        <f>-C28-C49+C70+C91-C112</f>
        <v>1411.68794</v>
      </c>
      <c r="D7" s="45">
        <f>-D28-D49+D70+D91-D112</f>
        <v>1663.71697524</v>
      </c>
    </row>
    <row r="8" ht="20.05" customHeight="1">
      <c r="A8" s="9"/>
      <c r="B8" s="58">
        <f>$B7+1</f>
        <v>2</v>
      </c>
      <c r="C8" s="44">
        <f>-C29-C50+C71+C92-C113</f>
        <v>1411.68794</v>
      </c>
      <c r="D8" s="45">
        <f>-D29-D50+D71+D92-D113</f>
        <v>1663.71697524</v>
      </c>
    </row>
    <row r="9" ht="20.05" customHeight="1">
      <c r="A9" s="9"/>
      <c r="B9" s="58">
        <f>$B8+1</f>
        <v>3</v>
      </c>
      <c r="C9" s="44">
        <f>-C30-C51+C72+C93-C114</f>
        <v>1411.68794</v>
      </c>
      <c r="D9" s="45">
        <f>-D30-D51+D72+D93-D114</f>
        <v>1663.71697524</v>
      </c>
    </row>
    <row r="10" ht="20.05" customHeight="1">
      <c r="A10" s="9"/>
      <c r="B10" s="58">
        <f>$B9+1</f>
        <v>4</v>
      </c>
      <c r="C10" s="44">
        <f>-C31-C52+C73+C94-C115</f>
        <v>1411.68794</v>
      </c>
      <c r="D10" s="45">
        <f>-D31-D52+D73+D94-D115</f>
        <v>1663.71697524</v>
      </c>
    </row>
    <row r="11" ht="20.05" customHeight="1">
      <c r="A11" s="9"/>
      <c r="B11" s="58">
        <f>$B10+1</f>
        <v>5</v>
      </c>
      <c r="C11" s="44">
        <f>-C32-C53+C74+C95-C116</f>
        <v>1411.68794</v>
      </c>
      <c r="D11" s="45">
        <f>-D32-D53+D74+D95-D116</f>
        <v>1663.71697524</v>
      </c>
    </row>
    <row r="12" ht="20.05" customHeight="1">
      <c r="A12" s="9"/>
      <c r="B12" s="58">
        <f>$B11+1</f>
        <v>6</v>
      </c>
      <c r="C12" s="44">
        <f>-C33-C54+C75+C96-C117</f>
        <v>1411.68794</v>
      </c>
      <c r="D12" s="45">
        <f>-D33-D54+D75+D96-D117</f>
        <v>1663.71697524</v>
      </c>
    </row>
    <row r="13" ht="20.05" customHeight="1">
      <c r="A13" s="9"/>
      <c r="B13" s="58">
        <f>$B12+1</f>
        <v>7</v>
      </c>
      <c r="C13" s="44">
        <f>-C34-C55+C76+C97-C118</f>
        <v>1411.68794</v>
      </c>
      <c r="D13" s="45">
        <f>-D34-D55+D76+D97-D118</f>
        <v>1663.71697524</v>
      </c>
    </row>
    <row r="14" ht="20.05" customHeight="1">
      <c r="A14" s="9"/>
      <c r="B14" s="58">
        <f>$B13+1</f>
        <v>8</v>
      </c>
      <c r="C14" s="44">
        <f>-C35-C56+C77+C98-C119</f>
        <v>1411.68794</v>
      </c>
      <c r="D14" s="45">
        <f>-D35-D56+D77+D98-D119</f>
        <v>1663.71697524</v>
      </c>
    </row>
    <row r="15" ht="20.05" customHeight="1">
      <c r="A15" s="9"/>
      <c r="B15" s="58">
        <f>$B14+1</f>
        <v>9</v>
      </c>
      <c r="C15" s="44">
        <f>-C36-C57+C78+C99-C120</f>
        <v>1411.68794</v>
      </c>
      <c r="D15" s="45">
        <f>-D36-D57+D78+D99-D120</f>
        <v>1663.71697524</v>
      </c>
    </row>
    <row r="16" ht="20.05" customHeight="1">
      <c r="A16" s="9"/>
      <c r="B16" s="58">
        <f>$B15+1</f>
        <v>10</v>
      </c>
      <c r="C16" s="44">
        <f>-C37-C58+C79+C100-C121</f>
        <v>1411.68794</v>
      </c>
      <c r="D16" s="45">
        <f>-D37-D58+D79+D100-D121</f>
        <v>1663.71697524</v>
      </c>
    </row>
    <row r="17" ht="20.05" customHeight="1">
      <c r="A17" s="9"/>
      <c r="B17" s="58">
        <f>$B16+1</f>
        <v>11</v>
      </c>
      <c r="C17" s="44">
        <f>-C38-C59+C80+C101-C122</f>
        <v>1411.68794</v>
      </c>
      <c r="D17" s="45">
        <f>-D38-D59+D80+D101-D122</f>
        <v>1663.71697524</v>
      </c>
    </row>
    <row r="18" ht="20.05" customHeight="1">
      <c r="A18" s="9"/>
      <c r="B18" s="58">
        <f>$B17+1</f>
        <v>12</v>
      </c>
      <c r="C18" s="44">
        <f>-C39-C60+C81+C102-C123</f>
        <v>1411.68794</v>
      </c>
      <c r="D18" s="45">
        <f>-D39-D60+D81+D102-D123</f>
        <v>1663.71697524</v>
      </c>
    </row>
    <row r="19" ht="20.05" customHeight="1">
      <c r="A19" s="9"/>
      <c r="B19" s="58">
        <f>$B18+1</f>
        <v>13</v>
      </c>
      <c r="C19" s="44">
        <f>-C40-C61+C82+C103-C124</f>
        <v>1411.68794</v>
      </c>
      <c r="D19" s="45">
        <f>-D40-D61+D82+D103-D124</f>
        <v>1663.71697524</v>
      </c>
    </row>
    <row r="20" ht="20.05" customHeight="1">
      <c r="A20" s="9"/>
      <c r="B20" s="58">
        <f>$B19+1</f>
        <v>14</v>
      </c>
      <c r="C20" s="44">
        <f>-C41-C62+C83+C104-C125</f>
        <v>1411.68794</v>
      </c>
      <c r="D20" s="45">
        <f>-D41-D62+D83+D104-D125</f>
        <v>1663.71697524</v>
      </c>
    </row>
    <row r="21" ht="20.05" customHeight="1">
      <c r="A21" s="9"/>
      <c r="B21" s="58">
        <f>$B20+1</f>
        <v>15</v>
      </c>
      <c r="C21" s="44">
        <f>-C42-C63+C84+C105-C126</f>
        <v>1411.68794</v>
      </c>
      <c r="D21" s="45">
        <f>-D42-D63+D84+D105-D126</f>
        <v>1663.71697524</v>
      </c>
    </row>
    <row r="22" ht="20.05" customHeight="1">
      <c r="A22" s="9"/>
      <c r="B22" s="58">
        <f>$B21+1</f>
        <v>16</v>
      </c>
      <c r="C22" s="44">
        <f>-C43-C64+C85+C106-C127</f>
        <v>1411.68794</v>
      </c>
      <c r="D22" s="45">
        <f>-D43-D64+D85+D106-D127</f>
        <v>1663.71697524</v>
      </c>
    </row>
    <row r="23" ht="20.05" customHeight="1">
      <c r="A23" s="9"/>
      <c r="B23" s="58">
        <f>$B22+1</f>
        <v>17</v>
      </c>
      <c r="C23" s="44">
        <f>-C44-C65+C86+C107-C128</f>
        <v>1411.68794</v>
      </c>
      <c r="D23" s="45">
        <f>-D44-D65+D86+D107-D128</f>
        <v>1663.71697524</v>
      </c>
    </row>
    <row r="24" ht="20.05" customHeight="1">
      <c r="A24" s="9"/>
      <c r="B24" s="58">
        <f>$B23+1</f>
        <v>18</v>
      </c>
      <c r="C24" s="44">
        <f>-C45-C66+C87+C108-C129</f>
        <v>1411.68794</v>
      </c>
      <c r="D24" s="45">
        <f>-D45-D66+D87+D108-D129</f>
        <v>1663.71697524</v>
      </c>
    </row>
    <row r="25" ht="20.05" customHeight="1">
      <c r="A25" s="9"/>
      <c r="B25" s="58">
        <f>$B24+1</f>
        <v>19</v>
      </c>
      <c r="C25" s="44">
        <f>-C46-C67+C88+C109-C130</f>
        <v>1411.68794</v>
      </c>
      <c r="D25" s="45">
        <f>-D46-D67+D88+D109-D130</f>
        <v>1663.71697524</v>
      </c>
    </row>
    <row r="26" ht="20.05" customHeight="1">
      <c r="A26" s="9"/>
      <c r="B26" s="58">
        <f>$B25+1</f>
        <v>20</v>
      </c>
      <c r="C26" s="44">
        <f>-C47-C68+C89+C110-C131</f>
        <v>1411.68794</v>
      </c>
      <c r="D26" s="45">
        <f>-D47-D68+D89+D110-D131</f>
        <v>1663.71697524</v>
      </c>
    </row>
    <row r="27" ht="20.05" customHeight="1">
      <c r="A27" s="9"/>
      <c r="B27" s="66"/>
      <c r="C27" s="78"/>
      <c r="D27" s="79"/>
    </row>
    <row r="28" ht="20.05" customHeight="1">
      <c r="A28" t="s" s="43">
        <v>55</v>
      </c>
      <c r="B28" s="58">
        <v>1</v>
      </c>
      <c r="C28" s="44">
        <f>'Anlagen Spezifikation'!C$30</f>
        <v>71.5</v>
      </c>
      <c r="D28" s="45">
        <f>'Anlagen Spezifikation'!D$30</f>
        <v>94.5</v>
      </c>
    </row>
    <row r="29" ht="20.05" customHeight="1">
      <c r="A29" s="9"/>
      <c r="B29" s="58">
        <f>$B28+1</f>
        <v>2</v>
      </c>
      <c r="C29" s="44">
        <f>'Anlagen Spezifikation'!C$30</f>
        <v>71.5</v>
      </c>
      <c r="D29" s="45">
        <f>'Anlagen Spezifikation'!D$30</f>
        <v>94.5</v>
      </c>
    </row>
    <row r="30" ht="20.05" customHeight="1">
      <c r="A30" s="9"/>
      <c r="B30" s="58">
        <f>$B29+1</f>
        <v>3</v>
      </c>
      <c r="C30" s="44">
        <f>'Anlagen Spezifikation'!C$30</f>
        <v>71.5</v>
      </c>
      <c r="D30" s="45">
        <f>'Anlagen Spezifikation'!D$30</f>
        <v>94.5</v>
      </c>
    </row>
    <row r="31" ht="20.05" customHeight="1">
      <c r="A31" s="9"/>
      <c r="B31" s="58">
        <f>$B30+1</f>
        <v>4</v>
      </c>
      <c r="C31" s="44">
        <f>'Anlagen Spezifikation'!C$30</f>
        <v>71.5</v>
      </c>
      <c r="D31" s="45">
        <f>'Anlagen Spezifikation'!D$30</f>
        <v>94.5</v>
      </c>
    </row>
    <row r="32" ht="20.05" customHeight="1">
      <c r="A32" s="9"/>
      <c r="B32" s="58">
        <f>$B31+1</f>
        <v>5</v>
      </c>
      <c r="C32" s="44">
        <f>'Anlagen Spezifikation'!C$30</f>
        <v>71.5</v>
      </c>
      <c r="D32" s="45">
        <f>'Anlagen Spezifikation'!D$30</f>
        <v>94.5</v>
      </c>
    </row>
    <row r="33" ht="20.05" customHeight="1">
      <c r="A33" s="9"/>
      <c r="B33" s="58">
        <f>$B32+1</f>
        <v>6</v>
      </c>
      <c r="C33" s="44">
        <f>'Anlagen Spezifikation'!C$30</f>
        <v>71.5</v>
      </c>
      <c r="D33" s="45">
        <f>'Anlagen Spezifikation'!D$30</f>
        <v>94.5</v>
      </c>
    </row>
    <row r="34" ht="20.05" customHeight="1">
      <c r="A34" s="9"/>
      <c r="B34" s="58">
        <f>$B33+1</f>
        <v>7</v>
      </c>
      <c r="C34" s="44">
        <f>'Anlagen Spezifikation'!C$30</f>
        <v>71.5</v>
      </c>
      <c r="D34" s="45">
        <f>'Anlagen Spezifikation'!D$30</f>
        <v>94.5</v>
      </c>
    </row>
    <row r="35" ht="20.05" customHeight="1">
      <c r="A35" s="9"/>
      <c r="B35" s="58">
        <f>$B34+1</f>
        <v>8</v>
      </c>
      <c r="C35" s="44">
        <f>'Anlagen Spezifikation'!C$30</f>
        <v>71.5</v>
      </c>
      <c r="D35" s="45">
        <f>'Anlagen Spezifikation'!D$30</f>
        <v>94.5</v>
      </c>
    </row>
    <row r="36" ht="20.05" customHeight="1">
      <c r="A36" s="9"/>
      <c r="B36" s="58">
        <f>$B35+1</f>
        <v>9</v>
      </c>
      <c r="C36" s="44">
        <f>'Anlagen Spezifikation'!C$30</f>
        <v>71.5</v>
      </c>
      <c r="D36" s="45">
        <f>'Anlagen Spezifikation'!D$30</f>
        <v>94.5</v>
      </c>
    </row>
    <row r="37" ht="20.05" customHeight="1">
      <c r="A37" s="9"/>
      <c r="B37" s="58">
        <f>$B36+1</f>
        <v>10</v>
      </c>
      <c r="C37" s="44">
        <f>'Anlagen Spezifikation'!C$30</f>
        <v>71.5</v>
      </c>
      <c r="D37" s="45">
        <f>'Anlagen Spezifikation'!D$30</f>
        <v>94.5</v>
      </c>
    </row>
    <row r="38" ht="20.05" customHeight="1">
      <c r="A38" s="9"/>
      <c r="B38" s="58">
        <f>$B37+1</f>
        <v>11</v>
      </c>
      <c r="C38" s="44">
        <f>'Anlagen Spezifikation'!C$30</f>
        <v>71.5</v>
      </c>
      <c r="D38" s="45">
        <f>'Anlagen Spezifikation'!D$30</f>
        <v>94.5</v>
      </c>
    </row>
    <row r="39" ht="20.05" customHeight="1">
      <c r="A39" s="9"/>
      <c r="B39" s="58">
        <f>$B38+1</f>
        <v>12</v>
      </c>
      <c r="C39" s="44">
        <f>'Anlagen Spezifikation'!C$30</f>
        <v>71.5</v>
      </c>
      <c r="D39" s="45">
        <f>'Anlagen Spezifikation'!D$30</f>
        <v>94.5</v>
      </c>
    </row>
    <row r="40" ht="20.05" customHeight="1">
      <c r="A40" s="9"/>
      <c r="B40" s="58">
        <f>$B39+1</f>
        <v>13</v>
      </c>
      <c r="C40" s="44">
        <f>'Anlagen Spezifikation'!C$30</f>
        <v>71.5</v>
      </c>
      <c r="D40" s="45">
        <f>'Anlagen Spezifikation'!D$30</f>
        <v>94.5</v>
      </c>
    </row>
    <row r="41" ht="20.05" customHeight="1">
      <c r="A41" s="9"/>
      <c r="B41" s="58">
        <f>$B40+1</f>
        <v>14</v>
      </c>
      <c r="C41" s="44">
        <f>'Anlagen Spezifikation'!C$30</f>
        <v>71.5</v>
      </c>
      <c r="D41" s="45">
        <f>'Anlagen Spezifikation'!D$30</f>
        <v>94.5</v>
      </c>
    </row>
    <row r="42" ht="20.05" customHeight="1">
      <c r="A42" s="9"/>
      <c r="B42" s="58">
        <f>$B41+1</f>
        <v>15</v>
      </c>
      <c r="C42" s="44">
        <f>'Anlagen Spezifikation'!C$30</f>
        <v>71.5</v>
      </c>
      <c r="D42" s="45">
        <f>'Anlagen Spezifikation'!D$30</f>
        <v>94.5</v>
      </c>
    </row>
    <row r="43" ht="20.05" customHeight="1">
      <c r="A43" s="9"/>
      <c r="B43" s="58">
        <f>$B42+1</f>
        <v>16</v>
      </c>
      <c r="C43" s="44">
        <f>'Anlagen Spezifikation'!C$30</f>
        <v>71.5</v>
      </c>
      <c r="D43" s="45">
        <f>'Anlagen Spezifikation'!D$30</f>
        <v>94.5</v>
      </c>
    </row>
    <row r="44" ht="20.05" customHeight="1">
      <c r="A44" s="9"/>
      <c r="B44" s="58">
        <f>$B43+1</f>
        <v>17</v>
      </c>
      <c r="C44" s="44">
        <f>'Anlagen Spezifikation'!C$30</f>
        <v>71.5</v>
      </c>
      <c r="D44" s="45">
        <f>'Anlagen Spezifikation'!D$30</f>
        <v>94.5</v>
      </c>
    </row>
    <row r="45" ht="20.05" customHeight="1">
      <c r="A45" s="9"/>
      <c r="B45" s="58">
        <f>$B44+1</f>
        <v>18</v>
      </c>
      <c r="C45" s="44">
        <f>'Anlagen Spezifikation'!C$30</f>
        <v>71.5</v>
      </c>
      <c r="D45" s="45">
        <f>'Anlagen Spezifikation'!D$30</f>
        <v>94.5</v>
      </c>
    </row>
    <row r="46" ht="20.05" customHeight="1">
      <c r="A46" s="9"/>
      <c r="B46" s="58">
        <f>$B45+1</f>
        <v>19</v>
      </c>
      <c r="C46" s="44">
        <f>'Anlagen Spezifikation'!C$30</f>
        <v>71.5</v>
      </c>
      <c r="D46" s="45">
        <f>'Anlagen Spezifikation'!D$30</f>
        <v>94.5</v>
      </c>
    </row>
    <row r="47" ht="20.05" customHeight="1">
      <c r="A47" s="9"/>
      <c r="B47" s="58">
        <f>$B46+1</f>
        <v>20</v>
      </c>
      <c r="C47" s="44">
        <f>'Anlagen Spezifikation'!C$30</f>
        <v>71.5</v>
      </c>
      <c r="D47" s="45">
        <f>'Anlagen Spezifikation'!D$30</f>
        <v>94.5</v>
      </c>
    </row>
    <row r="48" ht="20.05" customHeight="1">
      <c r="A48" s="9"/>
      <c r="B48" s="66"/>
      <c r="C48" s="78"/>
      <c r="D48" s="79"/>
    </row>
    <row r="49" ht="20.05" customHeight="1">
      <c r="A49" t="s" s="43">
        <v>56</v>
      </c>
      <c r="B49" s="58">
        <v>1</v>
      </c>
      <c r="C49" s="44">
        <f>'Anlagen Spezifikation'!C$31</f>
        <v>73.125</v>
      </c>
      <c r="D49" s="45">
        <f>'Anlagen Spezifikation'!D$31</f>
        <v>95.7</v>
      </c>
    </row>
    <row r="50" ht="20.05" customHeight="1">
      <c r="A50" s="9"/>
      <c r="B50" s="58">
        <f>$B49+1</f>
        <v>2</v>
      </c>
      <c r="C50" s="44">
        <f>'Anlagen Spezifikation'!C$31</f>
        <v>73.125</v>
      </c>
      <c r="D50" s="45">
        <f>'Anlagen Spezifikation'!D$31</f>
        <v>95.7</v>
      </c>
    </row>
    <row r="51" ht="20.05" customHeight="1">
      <c r="A51" s="9"/>
      <c r="B51" s="58">
        <f>$B50+1</f>
        <v>3</v>
      </c>
      <c r="C51" s="44">
        <f>'Anlagen Spezifikation'!C$31</f>
        <v>73.125</v>
      </c>
      <c r="D51" s="45">
        <f>'Anlagen Spezifikation'!D$31</f>
        <v>95.7</v>
      </c>
    </row>
    <row r="52" ht="20.05" customHeight="1">
      <c r="A52" s="9"/>
      <c r="B52" s="58">
        <f>$B51+1</f>
        <v>4</v>
      </c>
      <c r="C52" s="44">
        <f>'Anlagen Spezifikation'!C$31</f>
        <v>73.125</v>
      </c>
      <c r="D52" s="45">
        <f>'Anlagen Spezifikation'!D$31</f>
        <v>95.7</v>
      </c>
    </row>
    <row r="53" ht="20.05" customHeight="1">
      <c r="A53" s="9"/>
      <c r="B53" s="58">
        <f>$B52+1</f>
        <v>5</v>
      </c>
      <c r="C53" s="44">
        <f>'Anlagen Spezifikation'!C$31</f>
        <v>73.125</v>
      </c>
      <c r="D53" s="45">
        <f>'Anlagen Spezifikation'!D$31</f>
        <v>95.7</v>
      </c>
    </row>
    <row r="54" ht="20.05" customHeight="1">
      <c r="A54" s="9"/>
      <c r="B54" s="58">
        <f>$B53+1</f>
        <v>6</v>
      </c>
      <c r="C54" s="44">
        <f>'Anlagen Spezifikation'!C$31</f>
        <v>73.125</v>
      </c>
      <c r="D54" s="45">
        <f>'Anlagen Spezifikation'!D$31</f>
        <v>95.7</v>
      </c>
    </row>
    <row r="55" ht="20.05" customHeight="1">
      <c r="A55" s="9"/>
      <c r="B55" s="58">
        <f>$B54+1</f>
        <v>7</v>
      </c>
      <c r="C55" s="44">
        <f>'Anlagen Spezifikation'!C$31</f>
        <v>73.125</v>
      </c>
      <c r="D55" s="45">
        <f>'Anlagen Spezifikation'!D$31</f>
        <v>95.7</v>
      </c>
    </row>
    <row r="56" ht="20.05" customHeight="1">
      <c r="A56" s="9"/>
      <c r="B56" s="58">
        <f>$B55+1</f>
        <v>8</v>
      </c>
      <c r="C56" s="44">
        <f>'Anlagen Spezifikation'!C$31</f>
        <v>73.125</v>
      </c>
      <c r="D56" s="45">
        <f>'Anlagen Spezifikation'!D$31</f>
        <v>95.7</v>
      </c>
    </row>
    <row r="57" ht="20.05" customHeight="1">
      <c r="A57" s="9"/>
      <c r="B57" s="58">
        <f>$B56+1</f>
        <v>9</v>
      </c>
      <c r="C57" s="44">
        <f>'Anlagen Spezifikation'!C$31</f>
        <v>73.125</v>
      </c>
      <c r="D57" s="45">
        <f>'Anlagen Spezifikation'!D$31</f>
        <v>95.7</v>
      </c>
    </row>
    <row r="58" ht="20.05" customHeight="1">
      <c r="A58" s="9"/>
      <c r="B58" s="58">
        <f>$B57+1</f>
        <v>10</v>
      </c>
      <c r="C58" s="44">
        <f>'Anlagen Spezifikation'!C$31</f>
        <v>73.125</v>
      </c>
      <c r="D58" s="45">
        <f>'Anlagen Spezifikation'!D$31</f>
        <v>95.7</v>
      </c>
    </row>
    <row r="59" ht="20.05" customHeight="1">
      <c r="A59" s="9"/>
      <c r="B59" s="58">
        <f>$B58+1</f>
        <v>11</v>
      </c>
      <c r="C59" s="44">
        <f>'Anlagen Spezifikation'!C$31</f>
        <v>73.125</v>
      </c>
      <c r="D59" s="45">
        <f>'Anlagen Spezifikation'!D$31</f>
        <v>95.7</v>
      </c>
    </row>
    <row r="60" ht="20.05" customHeight="1">
      <c r="A60" s="9"/>
      <c r="B60" s="58">
        <f>$B59+1</f>
        <v>12</v>
      </c>
      <c r="C60" s="44">
        <f>'Anlagen Spezifikation'!C$31</f>
        <v>73.125</v>
      </c>
      <c r="D60" s="45">
        <f>'Anlagen Spezifikation'!D$31</f>
        <v>95.7</v>
      </c>
    </row>
    <row r="61" ht="20.05" customHeight="1">
      <c r="A61" s="9"/>
      <c r="B61" s="58">
        <f>$B60+1</f>
        <v>13</v>
      </c>
      <c r="C61" s="44">
        <f>'Anlagen Spezifikation'!C$31</f>
        <v>73.125</v>
      </c>
      <c r="D61" s="45">
        <f>'Anlagen Spezifikation'!D$31</f>
        <v>95.7</v>
      </c>
    </row>
    <row r="62" ht="20.05" customHeight="1">
      <c r="A62" s="9"/>
      <c r="B62" s="58">
        <f>$B61+1</f>
        <v>14</v>
      </c>
      <c r="C62" s="44">
        <f>'Anlagen Spezifikation'!C$31</f>
        <v>73.125</v>
      </c>
      <c r="D62" s="45">
        <f>'Anlagen Spezifikation'!D$31</f>
        <v>95.7</v>
      </c>
    </row>
    <row r="63" ht="20.05" customHeight="1">
      <c r="A63" s="9"/>
      <c r="B63" s="58">
        <f>$B62+1</f>
        <v>15</v>
      </c>
      <c r="C63" s="44">
        <f>'Anlagen Spezifikation'!C$31</f>
        <v>73.125</v>
      </c>
      <c r="D63" s="45">
        <f>'Anlagen Spezifikation'!D$31</f>
        <v>95.7</v>
      </c>
    </row>
    <row r="64" ht="20.05" customHeight="1">
      <c r="A64" s="9"/>
      <c r="B64" s="58">
        <f>$B63+1</f>
        <v>16</v>
      </c>
      <c r="C64" s="44">
        <f>'Anlagen Spezifikation'!C$31</f>
        <v>73.125</v>
      </c>
      <c r="D64" s="45">
        <f>'Anlagen Spezifikation'!D$31</f>
        <v>95.7</v>
      </c>
    </row>
    <row r="65" ht="20.05" customHeight="1">
      <c r="A65" s="9"/>
      <c r="B65" s="58">
        <f>$B64+1</f>
        <v>17</v>
      </c>
      <c r="C65" s="44">
        <f>'Anlagen Spezifikation'!C$31</f>
        <v>73.125</v>
      </c>
      <c r="D65" s="45">
        <f>'Anlagen Spezifikation'!D$31</f>
        <v>95.7</v>
      </c>
    </row>
    <row r="66" ht="20.05" customHeight="1">
      <c r="A66" s="9"/>
      <c r="B66" s="58">
        <f>$B65+1</f>
        <v>18</v>
      </c>
      <c r="C66" s="44">
        <f>'Anlagen Spezifikation'!C$31</f>
        <v>73.125</v>
      </c>
      <c r="D66" s="45">
        <f>'Anlagen Spezifikation'!D$31</f>
        <v>95.7</v>
      </c>
    </row>
    <row r="67" ht="20.05" customHeight="1">
      <c r="A67" s="9"/>
      <c r="B67" s="58">
        <f>$B66+1</f>
        <v>19</v>
      </c>
      <c r="C67" s="44">
        <f>'Anlagen Spezifikation'!C$31</f>
        <v>73.125</v>
      </c>
      <c r="D67" s="45">
        <f>'Anlagen Spezifikation'!D$31</f>
        <v>95.7</v>
      </c>
    </row>
    <row r="68" ht="20.05" customHeight="1">
      <c r="A68" s="9"/>
      <c r="B68" s="58">
        <f>$B67+1</f>
        <v>20</v>
      </c>
      <c r="C68" s="44">
        <f>'Anlagen Spezifikation'!C$31</f>
        <v>73.125</v>
      </c>
      <c r="D68" s="45">
        <f>'Anlagen Spezifikation'!D$31</f>
        <v>95.7</v>
      </c>
    </row>
    <row r="69" ht="20.05" customHeight="1">
      <c r="A69" s="9"/>
      <c r="B69" s="66"/>
      <c r="C69" s="78"/>
      <c r="D69" s="79"/>
    </row>
    <row r="70" ht="20.05" customHeight="1">
      <c r="A70" t="s" s="43">
        <v>57</v>
      </c>
      <c r="B70" s="58">
        <v>1</v>
      </c>
      <c r="C70" s="44">
        <f>'Anlagen Spezifikation'!C$32</f>
        <v>693.98199</v>
      </c>
      <c r="D70" s="45">
        <f>'Anlagen Spezifikation'!D$32</f>
        <v>942.39744324</v>
      </c>
    </row>
    <row r="71" ht="20.05" customHeight="1">
      <c r="A71" s="9"/>
      <c r="B71" s="58">
        <f>$B70+1</f>
        <v>2</v>
      </c>
      <c r="C71" s="44">
        <f>'Anlagen Spezifikation'!C$32</f>
        <v>693.98199</v>
      </c>
      <c r="D71" s="45">
        <f>'Anlagen Spezifikation'!D$32</f>
        <v>942.39744324</v>
      </c>
    </row>
    <row r="72" ht="20.05" customHeight="1">
      <c r="A72" s="9"/>
      <c r="B72" s="58">
        <f>$B71+1</f>
        <v>3</v>
      </c>
      <c r="C72" s="44">
        <f>'Anlagen Spezifikation'!C$32</f>
        <v>693.98199</v>
      </c>
      <c r="D72" s="45">
        <f>'Anlagen Spezifikation'!D$32</f>
        <v>942.39744324</v>
      </c>
    </row>
    <row r="73" ht="20.05" customHeight="1">
      <c r="A73" s="9"/>
      <c r="B73" s="58">
        <f>$B72+1</f>
        <v>4</v>
      </c>
      <c r="C73" s="44">
        <f>'Anlagen Spezifikation'!C$32</f>
        <v>693.98199</v>
      </c>
      <c r="D73" s="45">
        <f>'Anlagen Spezifikation'!D$32</f>
        <v>942.39744324</v>
      </c>
    </row>
    <row r="74" ht="20.05" customHeight="1">
      <c r="A74" s="9"/>
      <c r="B74" s="58">
        <f>$B73+1</f>
        <v>5</v>
      </c>
      <c r="C74" s="44">
        <f>'Anlagen Spezifikation'!C$32</f>
        <v>693.98199</v>
      </c>
      <c r="D74" s="45">
        <f>'Anlagen Spezifikation'!D$32</f>
        <v>942.39744324</v>
      </c>
    </row>
    <row r="75" ht="20.05" customHeight="1">
      <c r="A75" s="9"/>
      <c r="B75" s="58">
        <f>$B74+1</f>
        <v>6</v>
      </c>
      <c r="C75" s="44">
        <f>'Anlagen Spezifikation'!C$32</f>
        <v>693.98199</v>
      </c>
      <c r="D75" s="45">
        <f>'Anlagen Spezifikation'!D$32</f>
        <v>942.39744324</v>
      </c>
    </row>
    <row r="76" ht="20.05" customHeight="1">
      <c r="A76" s="9"/>
      <c r="B76" s="58">
        <f>$B75+1</f>
        <v>7</v>
      </c>
      <c r="C76" s="44">
        <f>'Anlagen Spezifikation'!C$32</f>
        <v>693.98199</v>
      </c>
      <c r="D76" s="45">
        <f>'Anlagen Spezifikation'!D$32</f>
        <v>942.39744324</v>
      </c>
    </row>
    <row r="77" ht="20.05" customHeight="1">
      <c r="A77" s="9"/>
      <c r="B77" s="58">
        <f>$B76+1</f>
        <v>8</v>
      </c>
      <c r="C77" s="44">
        <f>'Anlagen Spezifikation'!C$32</f>
        <v>693.98199</v>
      </c>
      <c r="D77" s="45">
        <f>'Anlagen Spezifikation'!D$32</f>
        <v>942.39744324</v>
      </c>
    </row>
    <row r="78" ht="20.05" customHeight="1">
      <c r="A78" s="9"/>
      <c r="B78" s="58">
        <f>$B77+1</f>
        <v>9</v>
      </c>
      <c r="C78" s="44">
        <f>'Anlagen Spezifikation'!C$32</f>
        <v>693.98199</v>
      </c>
      <c r="D78" s="45">
        <f>'Anlagen Spezifikation'!D$32</f>
        <v>942.39744324</v>
      </c>
    </row>
    <row r="79" ht="20.05" customHeight="1">
      <c r="A79" s="9"/>
      <c r="B79" s="58">
        <f>$B78+1</f>
        <v>10</v>
      </c>
      <c r="C79" s="44">
        <f>'Anlagen Spezifikation'!C$32</f>
        <v>693.98199</v>
      </c>
      <c r="D79" s="45">
        <f>'Anlagen Spezifikation'!D$32</f>
        <v>942.39744324</v>
      </c>
    </row>
    <row r="80" ht="20.05" customHeight="1">
      <c r="A80" s="9"/>
      <c r="B80" s="58">
        <f>$B79+1</f>
        <v>11</v>
      </c>
      <c r="C80" s="44">
        <f>'Anlagen Spezifikation'!C$32</f>
        <v>693.98199</v>
      </c>
      <c r="D80" s="45">
        <f>'Anlagen Spezifikation'!D$32</f>
        <v>942.39744324</v>
      </c>
    </row>
    <row r="81" ht="20.05" customHeight="1">
      <c r="A81" s="9"/>
      <c r="B81" s="58">
        <f>$B80+1</f>
        <v>12</v>
      </c>
      <c r="C81" s="44">
        <f>'Anlagen Spezifikation'!C$32</f>
        <v>693.98199</v>
      </c>
      <c r="D81" s="45">
        <f>'Anlagen Spezifikation'!D$32</f>
        <v>942.39744324</v>
      </c>
    </row>
    <row r="82" ht="20.05" customHeight="1">
      <c r="A82" s="9"/>
      <c r="B82" s="58">
        <f>$B81+1</f>
        <v>13</v>
      </c>
      <c r="C82" s="44">
        <f>'Anlagen Spezifikation'!C$32</f>
        <v>693.98199</v>
      </c>
      <c r="D82" s="45">
        <f>'Anlagen Spezifikation'!D$32</f>
        <v>942.39744324</v>
      </c>
    </row>
    <row r="83" ht="20.05" customHeight="1">
      <c r="A83" s="9"/>
      <c r="B83" s="58">
        <f>$B82+1</f>
        <v>14</v>
      </c>
      <c r="C83" s="44">
        <f>'Anlagen Spezifikation'!C$32</f>
        <v>693.98199</v>
      </c>
      <c r="D83" s="45">
        <f>'Anlagen Spezifikation'!D$32</f>
        <v>942.39744324</v>
      </c>
    </row>
    <row r="84" ht="20.05" customHeight="1">
      <c r="A84" s="9"/>
      <c r="B84" s="58">
        <f>$B83+1</f>
        <v>15</v>
      </c>
      <c r="C84" s="44">
        <f>'Anlagen Spezifikation'!C$32</f>
        <v>693.98199</v>
      </c>
      <c r="D84" s="45">
        <f>'Anlagen Spezifikation'!D$32</f>
        <v>942.39744324</v>
      </c>
    </row>
    <row r="85" ht="20.05" customHeight="1">
      <c r="A85" s="9"/>
      <c r="B85" s="58">
        <f>$B84+1</f>
        <v>16</v>
      </c>
      <c r="C85" s="44">
        <f>'Anlagen Spezifikation'!C$32</f>
        <v>693.98199</v>
      </c>
      <c r="D85" s="45">
        <f>'Anlagen Spezifikation'!D$32</f>
        <v>942.39744324</v>
      </c>
    </row>
    <row r="86" ht="20.05" customHeight="1">
      <c r="A86" s="9"/>
      <c r="B86" s="58">
        <f>$B85+1</f>
        <v>17</v>
      </c>
      <c r="C86" s="44">
        <f>'Anlagen Spezifikation'!C$32</f>
        <v>693.98199</v>
      </c>
      <c r="D86" s="45">
        <f>'Anlagen Spezifikation'!D$32</f>
        <v>942.39744324</v>
      </c>
    </row>
    <row r="87" ht="20.05" customHeight="1">
      <c r="A87" s="9"/>
      <c r="B87" s="58">
        <f>$B86+1</f>
        <v>18</v>
      </c>
      <c r="C87" s="44">
        <f>'Anlagen Spezifikation'!C$32</f>
        <v>693.98199</v>
      </c>
      <c r="D87" s="45">
        <f>'Anlagen Spezifikation'!D$32</f>
        <v>942.39744324</v>
      </c>
    </row>
    <row r="88" ht="20.05" customHeight="1">
      <c r="A88" s="9"/>
      <c r="B88" s="58">
        <f>$B87+1</f>
        <v>19</v>
      </c>
      <c r="C88" s="44">
        <f>'Anlagen Spezifikation'!C$32</f>
        <v>693.98199</v>
      </c>
      <c r="D88" s="45">
        <f>'Anlagen Spezifikation'!D$32</f>
        <v>942.39744324</v>
      </c>
    </row>
    <row r="89" ht="20.05" customHeight="1">
      <c r="A89" s="9"/>
      <c r="B89" s="58">
        <f>$B88+1</f>
        <v>20</v>
      </c>
      <c r="C89" s="44">
        <f>'Anlagen Spezifikation'!C$32</f>
        <v>693.98199</v>
      </c>
      <c r="D89" s="45">
        <f>'Anlagen Spezifikation'!D$32</f>
        <v>942.39744324</v>
      </c>
    </row>
    <row r="90" ht="20.05" customHeight="1">
      <c r="A90" s="9"/>
      <c r="B90" s="66"/>
      <c r="C90" s="44"/>
      <c r="D90" s="45"/>
    </row>
    <row r="91" ht="20.05" customHeight="1">
      <c r="A91" t="s" s="43">
        <v>58</v>
      </c>
      <c r="B91" s="58">
        <f t="shared" si="244" ref="B91:B112">1</f>
        <v>1</v>
      </c>
      <c r="C91" s="44">
        <f>'Anlagen Spezifikation'!C$33</f>
        <v>862.33095</v>
      </c>
      <c r="D91" s="45">
        <f>'Anlagen Spezifikation'!D$33</f>
        <v>911.519532</v>
      </c>
    </row>
    <row r="92" ht="20.05" customHeight="1">
      <c r="A92" s="9"/>
      <c r="B92" s="58">
        <f>$B91+1</f>
        <v>2</v>
      </c>
      <c r="C92" s="44">
        <f>'Anlagen Spezifikation'!C$33</f>
        <v>862.33095</v>
      </c>
      <c r="D92" s="45">
        <f>'Anlagen Spezifikation'!D$33</f>
        <v>911.519532</v>
      </c>
    </row>
    <row r="93" ht="20.05" customHeight="1">
      <c r="A93" s="9"/>
      <c r="B93" s="58">
        <f>$B92+1</f>
        <v>3</v>
      </c>
      <c r="C93" s="44">
        <f>'Anlagen Spezifikation'!C$33</f>
        <v>862.33095</v>
      </c>
      <c r="D93" s="45">
        <f>'Anlagen Spezifikation'!D$33</f>
        <v>911.519532</v>
      </c>
    </row>
    <row r="94" ht="20.05" customHeight="1">
      <c r="A94" s="9"/>
      <c r="B94" s="58">
        <f>$B93+1</f>
        <v>4</v>
      </c>
      <c r="C94" s="44">
        <f>'Anlagen Spezifikation'!C$33</f>
        <v>862.33095</v>
      </c>
      <c r="D94" s="45">
        <f>'Anlagen Spezifikation'!D$33</f>
        <v>911.519532</v>
      </c>
    </row>
    <row r="95" ht="20.05" customHeight="1">
      <c r="A95" s="9"/>
      <c r="B95" s="58">
        <f>$B94+1</f>
        <v>5</v>
      </c>
      <c r="C95" s="44">
        <f>'Anlagen Spezifikation'!C$33</f>
        <v>862.33095</v>
      </c>
      <c r="D95" s="45">
        <f>'Anlagen Spezifikation'!D$33</f>
        <v>911.519532</v>
      </c>
    </row>
    <row r="96" ht="20.05" customHeight="1">
      <c r="A96" s="9"/>
      <c r="B96" s="58">
        <f>$B95+1</f>
        <v>6</v>
      </c>
      <c r="C96" s="44">
        <f>'Anlagen Spezifikation'!C$33</f>
        <v>862.33095</v>
      </c>
      <c r="D96" s="45">
        <f>'Anlagen Spezifikation'!D$33</f>
        <v>911.519532</v>
      </c>
    </row>
    <row r="97" ht="20.05" customHeight="1">
      <c r="A97" s="9"/>
      <c r="B97" s="58">
        <f>$B96+1</f>
        <v>7</v>
      </c>
      <c r="C97" s="44">
        <f>'Anlagen Spezifikation'!C$33</f>
        <v>862.33095</v>
      </c>
      <c r="D97" s="45">
        <f>'Anlagen Spezifikation'!D$33</f>
        <v>911.519532</v>
      </c>
    </row>
    <row r="98" ht="20.05" customHeight="1">
      <c r="A98" s="9"/>
      <c r="B98" s="58">
        <f>$B97+1</f>
        <v>8</v>
      </c>
      <c r="C98" s="44">
        <f>'Anlagen Spezifikation'!C$33</f>
        <v>862.33095</v>
      </c>
      <c r="D98" s="45">
        <f>'Anlagen Spezifikation'!D$33</f>
        <v>911.519532</v>
      </c>
    </row>
    <row r="99" ht="20.05" customHeight="1">
      <c r="A99" s="9"/>
      <c r="B99" s="58">
        <f>$B98+1</f>
        <v>9</v>
      </c>
      <c r="C99" s="44">
        <f>'Anlagen Spezifikation'!C$33</f>
        <v>862.33095</v>
      </c>
      <c r="D99" s="45">
        <f>'Anlagen Spezifikation'!D$33</f>
        <v>911.519532</v>
      </c>
    </row>
    <row r="100" ht="20.05" customHeight="1">
      <c r="A100" s="9"/>
      <c r="B100" s="58">
        <f>$B99+1</f>
        <v>10</v>
      </c>
      <c r="C100" s="44">
        <f>'Anlagen Spezifikation'!C$33</f>
        <v>862.33095</v>
      </c>
      <c r="D100" s="45">
        <f>'Anlagen Spezifikation'!D$33</f>
        <v>911.519532</v>
      </c>
    </row>
    <row r="101" ht="20.05" customHeight="1">
      <c r="A101" s="9"/>
      <c r="B101" s="58">
        <f>$B100+1</f>
        <v>11</v>
      </c>
      <c r="C101" s="44">
        <f>'Anlagen Spezifikation'!C$33</f>
        <v>862.33095</v>
      </c>
      <c r="D101" s="45">
        <f>'Anlagen Spezifikation'!D$33</f>
        <v>911.519532</v>
      </c>
    </row>
    <row r="102" ht="20.05" customHeight="1">
      <c r="A102" s="9"/>
      <c r="B102" s="58">
        <f>$B101+1</f>
        <v>12</v>
      </c>
      <c r="C102" s="44">
        <f>'Anlagen Spezifikation'!C$33</f>
        <v>862.33095</v>
      </c>
      <c r="D102" s="45">
        <f>'Anlagen Spezifikation'!D$33</f>
        <v>911.519532</v>
      </c>
    </row>
    <row r="103" ht="20.05" customHeight="1">
      <c r="A103" s="9"/>
      <c r="B103" s="58">
        <f>$B102+1</f>
        <v>13</v>
      </c>
      <c r="C103" s="44">
        <f>'Anlagen Spezifikation'!C$33</f>
        <v>862.33095</v>
      </c>
      <c r="D103" s="45">
        <f>'Anlagen Spezifikation'!D$33</f>
        <v>911.519532</v>
      </c>
    </row>
    <row r="104" ht="20.05" customHeight="1">
      <c r="A104" s="9"/>
      <c r="B104" s="58">
        <f>$B103+1</f>
        <v>14</v>
      </c>
      <c r="C104" s="44">
        <f>'Anlagen Spezifikation'!C$33</f>
        <v>862.33095</v>
      </c>
      <c r="D104" s="45">
        <f>'Anlagen Spezifikation'!D$33</f>
        <v>911.519532</v>
      </c>
    </row>
    <row r="105" ht="20.05" customHeight="1">
      <c r="A105" s="9"/>
      <c r="B105" s="58">
        <f>$B104+1</f>
        <v>15</v>
      </c>
      <c r="C105" s="44">
        <f>'Anlagen Spezifikation'!C$33</f>
        <v>862.33095</v>
      </c>
      <c r="D105" s="45">
        <f>'Anlagen Spezifikation'!D$33</f>
        <v>911.519532</v>
      </c>
    </row>
    <row r="106" ht="20.05" customHeight="1">
      <c r="A106" s="9"/>
      <c r="B106" s="58">
        <f>$B105+1</f>
        <v>16</v>
      </c>
      <c r="C106" s="44">
        <f>'Anlagen Spezifikation'!C$33</f>
        <v>862.33095</v>
      </c>
      <c r="D106" s="45">
        <f>'Anlagen Spezifikation'!D$33</f>
        <v>911.519532</v>
      </c>
    </row>
    <row r="107" ht="20.05" customHeight="1">
      <c r="A107" s="9"/>
      <c r="B107" s="58">
        <f>$B106+1</f>
        <v>17</v>
      </c>
      <c r="C107" s="44">
        <f>'Anlagen Spezifikation'!C$33</f>
        <v>862.33095</v>
      </c>
      <c r="D107" s="45">
        <f>'Anlagen Spezifikation'!D$33</f>
        <v>911.519532</v>
      </c>
    </row>
    <row r="108" ht="20.05" customHeight="1">
      <c r="A108" s="9"/>
      <c r="B108" s="58">
        <f>$B107+1</f>
        <v>18</v>
      </c>
      <c r="C108" s="44">
        <f>'Anlagen Spezifikation'!C$33</f>
        <v>862.33095</v>
      </c>
      <c r="D108" s="45">
        <f>'Anlagen Spezifikation'!D$33</f>
        <v>911.519532</v>
      </c>
    </row>
    <row r="109" ht="20.05" customHeight="1">
      <c r="A109" s="9"/>
      <c r="B109" s="58">
        <f>$B108+1</f>
        <v>19</v>
      </c>
      <c r="C109" s="44">
        <f>'Anlagen Spezifikation'!C$33</f>
        <v>862.33095</v>
      </c>
      <c r="D109" s="45">
        <f>'Anlagen Spezifikation'!D$33</f>
        <v>911.519532</v>
      </c>
    </row>
    <row r="110" ht="20.05" customHeight="1">
      <c r="A110" s="9"/>
      <c r="B110" s="58">
        <f>$B109+1</f>
        <v>20</v>
      </c>
      <c r="C110" s="44">
        <f>'Anlagen Spezifikation'!C$33</f>
        <v>862.33095</v>
      </c>
      <c r="D110" s="45">
        <f>'Anlagen Spezifikation'!D$33</f>
        <v>911.519532</v>
      </c>
    </row>
    <row r="111" ht="20.05" customHeight="1">
      <c r="A111" s="9"/>
      <c r="B111" s="66"/>
      <c r="C111" s="44"/>
      <c r="D111" s="45"/>
    </row>
    <row r="112" ht="20.05" customHeight="1">
      <c r="A112" t="s" s="43">
        <v>59</v>
      </c>
      <c r="B112" s="58">
        <f t="shared" si="244"/>
        <v>1</v>
      </c>
      <c r="C112" s="44">
        <f>'Reperaturmodell'!C3</f>
        <v>0</v>
      </c>
      <c r="D112" s="45">
        <f>'Reperaturmodell'!D3</f>
        <v>0</v>
      </c>
    </row>
    <row r="113" ht="20.05" customHeight="1">
      <c r="A113" s="9"/>
      <c r="B113" s="58">
        <f>$B112+1</f>
        <v>2</v>
      </c>
      <c r="C113" s="44">
        <f>'Reperaturmodell'!C4</f>
        <v>0</v>
      </c>
      <c r="D113" s="45">
        <f>'Reperaturmodell'!D4</f>
        <v>0</v>
      </c>
    </row>
    <row r="114" ht="20.05" customHeight="1">
      <c r="A114" s="9"/>
      <c r="B114" s="58">
        <f>$B113+1</f>
        <v>3</v>
      </c>
      <c r="C114" s="44">
        <f>'Reperaturmodell'!C5</f>
        <v>0</v>
      </c>
      <c r="D114" s="45">
        <f>'Reperaturmodell'!D5</f>
        <v>0</v>
      </c>
    </row>
    <row r="115" ht="20.05" customHeight="1">
      <c r="A115" s="9"/>
      <c r="B115" s="58">
        <f>$B114+1</f>
        <v>4</v>
      </c>
      <c r="C115" s="44">
        <f>'Reperaturmodell'!C6</f>
        <v>0</v>
      </c>
      <c r="D115" s="45">
        <f>'Reperaturmodell'!D6</f>
        <v>0</v>
      </c>
    </row>
    <row r="116" ht="20.05" customHeight="1">
      <c r="A116" s="9"/>
      <c r="B116" s="58">
        <f>$B115+1</f>
        <v>5</v>
      </c>
      <c r="C116" s="44">
        <f>'Reperaturmodell'!C7</f>
        <v>0</v>
      </c>
      <c r="D116" s="45">
        <f>'Reperaturmodell'!D7</f>
        <v>0</v>
      </c>
    </row>
    <row r="117" ht="20.05" customHeight="1">
      <c r="A117" s="9"/>
      <c r="B117" s="58">
        <f>$B116+1</f>
        <v>6</v>
      </c>
      <c r="C117" s="44">
        <f>'Reperaturmodell'!C8</f>
        <v>0</v>
      </c>
      <c r="D117" s="45">
        <f>'Reperaturmodell'!D8</f>
        <v>0</v>
      </c>
    </row>
    <row r="118" ht="20.05" customHeight="1">
      <c r="A118" s="9"/>
      <c r="B118" s="58">
        <f>$B117+1</f>
        <v>7</v>
      </c>
      <c r="C118" s="44">
        <f>'Reperaturmodell'!C9</f>
        <v>0</v>
      </c>
      <c r="D118" s="45">
        <f>'Reperaturmodell'!D9</f>
        <v>0</v>
      </c>
    </row>
    <row r="119" ht="20.05" customHeight="1">
      <c r="A119" s="9"/>
      <c r="B119" s="58">
        <f>$B118+1</f>
        <v>8</v>
      </c>
      <c r="C119" s="44">
        <f>'Reperaturmodell'!C10</f>
        <v>0</v>
      </c>
      <c r="D119" s="45">
        <f>'Reperaturmodell'!D10</f>
        <v>0</v>
      </c>
    </row>
    <row r="120" ht="20.05" customHeight="1">
      <c r="A120" s="9"/>
      <c r="B120" s="58">
        <f>$B119+1</f>
        <v>9</v>
      </c>
      <c r="C120" s="44">
        <f>'Reperaturmodell'!C11</f>
        <v>0</v>
      </c>
      <c r="D120" s="45">
        <f>'Reperaturmodell'!D11</f>
        <v>0</v>
      </c>
    </row>
    <row r="121" ht="20.05" customHeight="1">
      <c r="A121" s="9"/>
      <c r="B121" s="58">
        <f>$B120+1</f>
        <v>10</v>
      </c>
      <c r="C121" s="44">
        <f>'Reperaturmodell'!C12</f>
        <v>0</v>
      </c>
      <c r="D121" s="45">
        <f>'Reperaturmodell'!D12</f>
        <v>0</v>
      </c>
    </row>
    <row r="122" ht="20.05" customHeight="1">
      <c r="A122" s="9"/>
      <c r="B122" s="58">
        <f>$B121+1</f>
        <v>11</v>
      </c>
      <c r="C122" s="44">
        <f>'Reperaturmodell'!C13</f>
        <v>0</v>
      </c>
      <c r="D122" s="45">
        <f>'Reperaturmodell'!D13</f>
        <v>0</v>
      </c>
    </row>
    <row r="123" ht="20.05" customHeight="1">
      <c r="A123" s="9"/>
      <c r="B123" s="58">
        <f>$B122+1</f>
        <v>12</v>
      </c>
      <c r="C123" s="44">
        <f>'Reperaturmodell'!C14</f>
        <v>0</v>
      </c>
      <c r="D123" s="45">
        <f>'Reperaturmodell'!D14</f>
        <v>0</v>
      </c>
    </row>
    <row r="124" ht="20.05" customHeight="1">
      <c r="A124" s="9"/>
      <c r="B124" s="58">
        <f>$B123+1</f>
        <v>13</v>
      </c>
      <c r="C124" s="44">
        <f>'Reperaturmodell'!C15</f>
        <v>0</v>
      </c>
      <c r="D124" s="45">
        <f>'Reperaturmodell'!D15</f>
        <v>0</v>
      </c>
    </row>
    <row r="125" ht="20.05" customHeight="1">
      <c r="A125" s="9"/>
      <c r="B125" s="58">
        <f>$B124+1</f>
        <v>14</v>
      </c>
      <c r="C125" s="44">
        <f>'Reperaturmodell'!C16</f>
        <v>0</v>
      </c>
      <c r="D125" s="45">
        <f>'Reperaturmodell'!D16</f>
        <v>0</v>
      </c>
    </row>
    <row r="126" ht="20.05" customHeight="1">
      <c r="A126" s="9"/>
      <c r="B126" s="58">
        <f>$B125+1</f>
        <v>15</v>
      </c>
      <c r="C126" s="44">
        <f>'Reperaturmodell'!C17</f>
        <v>0</v>
      </c>
      <c r="D126" s="45">
        <f>'Reperaturmodell'!D17</f>
        <v>0</v>
      </c>
    </row>
    <row r="127" ht="20.05" customHeight="1">
      <c r="A127" s="9"/>
      <c r="B127" s="58">
        <f>$B126+1</f>
        <v>16</v>
      </c>
      <c r="C127" s="44">
        <f>'Reperaturmodell'!C18</f>
        <v>0</v>
      </c>
      <c r="D127" s="45">
        <f>'Reperaturmodell'!D18</f>
        <v>0</v>
      </c>
    </row>
    <row r="128" ht="20.05" customHeight="1">
      <c r="A128" s="9"/>
      <c r="B128" s="58">
        <f>$B127+1</f>
        <v>17</v>
      </c>
      <c r="C128" s="44">
        <f>'Reperaturmodell'!C19</f>
        <v>0</v>
      </c>
      <c r="D128" s="45">
        <f>'Reperaturmodell'!D19</f>
        <v>0</v>
      </c>
    </row>
    <row r="129" ht="20.05" customHeight="1">
      <c r="A129" s="9"/>
      <c r="B129" s="58">
        <f>$B128+1</f>
        <v>18</v>
      </c>
      <c r="C129" s="44">
        <f>'Reperaturmodell'!C20</f>
        <v>0</v>
      </c>
      <c r="D129" s="45">
        <f>'Reperaturmodell'!D20</f>
        <v>0</v>
      </c>
    </row>
    <row r="130" ht="20.05" customHeight="1">
      <c r="A130" s="9"/>
      <c r="B130" s="58">
        <f>$B129+1</f>
        <v>19</v>
      </c>
      <c r="C130" s="44">
        <f>'Reperaturmodell'!C21</f>
        <v>0</v>
      </c>
      <c r="D130" s="45">
        <f>'Reperaturmodell'!D21</f>
        <v>0</v>
      </c>
    </row>
    <row r="131" ht="20.05" customHeight="1">
      <c r="A131" s="9"/>
      <c r="B131" s="58">
        <f>$B130+1</f>
        <v>20</v>
      </c>
      <c r="C131" s="44">
        <f>'Reperaturmodell'!C22</f>
        <v>0</v>
      </c>
      <c r="D131" s="45">
        <f>'Reperaturmodell'!D22</f>
        <v>0</v>
      </c>
    </row>
  </sheetData>
  <mergeCells count="7">
    <mergeCell ref="A1:D1"/>
    <mergeCell ref="A91:A110"/>
    <mergeCell ref="A70:A89"/>
    <mergeCell ref="A49:A68"/>
    <mergeCell ref="A28:A47"/>
    <mergeCell ref="A7:A26"/>
    <mergeCell ref="A112:A131"/>
  </mergeCell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5.xml><?xml version="1.0" encoding="utf-8"?>
<worksheet xmlns:r="http://schemas.openxmlformats.org/officeDocument/2006/relationships" xmlns="http://schemas.openxmlformats.org/spreadsheetml/2006/main">
  <sheetPr>
    <pageSetUpPr fitToPage="1"/>
  </sheetPr>
  <dimension ref="A2:D132"/>
  <sheetViews>
    <sheetView workbookViewId="0" showGridLines="0" defaultGridColor="1">
      <pane topLeftCell="C3" xSplit="2" ySplit="2" activePane="bottomRight" state="frozen"/>
    </sheetView>
  </sheetViews>
  <sheetFormatPr defaultColWidth="16.3333" defaultRowHeight="19.9" customHeight="1" outlineLevelRow="0" outlineLevelCol="0"/>
  <cols>
    <col min="1" max="1" width="18.8828" style="80" customWidth="1"/>
    <col min="2" max="2" width="16.9375" style="80" customWidth="1"/>
    <col min="3" max="4" width="16.5391" style="80" customWidth="1"/>
    <col min="5" max="16384" width="16.3516" style="80" customWidth="1"/>
  </cols>
  <sheetData>
    <row r="1" ht="27.65" customHeight="1">
      <c r="A1" t="s" s="2">
        <v>60</v>
      </c>
      <c r="B1" s="2"/>
      <c r="C1" s="2"/>
      <c r="D1" s="2"/>
    </row>
    <row r="2" ht="20.25" customHeight="1">
      <c r="A2" s="3"/>
      <c r="B2" t="s" s="53">
        <v>43</v>
      </c>
      <c r="C2" t="s" s="54">
        <f>'Anlagen Spezifikation'!C$2</f>
        <v>1</v>
      </c>
      <c r="D2" t="s" s="54">
        <f>'Anlagen Spezifikation'!D$2</f>
        <v>2</v>
      </c>
    </row>
    <row r="3" ht="20.25" customHeight="1">
      <c r="A3" s="74"/>
      <c r="B3" t="s" s="6">
        <v>61</v>
      </c>
      <c r="C3" s="81">
        <f>'Anlagen Spezifikation'!C20</f>
        <v>0.04</v>
      </c>
      <c r="D3" s="82">
        <f>'Anlagen Spezifikation'!D20</f>
        <v>0.04</v>
      </c>
    </row>
    <row r="4" ht="20.05" customHeight="1">
      <c r="A4" s="9"/>
      <c r="B4" t="s" s="10">
        <v>62</v>
      </c>
      <c r="C4" s="64">
        <f>'Anlagen Spezifikation'!C21</f>
        <v>0.02</v>
      </c>
      <c r="D4" s="65">
        <f>'Anlagen Spezifikation'!D21</f>
        <v>0.02</v>
      </c>
    </row>
    <row r="5" ht="20.05" customHeight="1">
      <c r="A5" s="9"/>
      <c r="B5" t="s" s="10">
        <v>63</v>
      </c>
      <c r="C5" s="77">
        <f>1+C3</f>
        <v>1.04</v>
      </c>
      <c r="D5" s="83">
        <f>1+D3</f>
        <v>1.04</v>
      </c>
    </row>
    <row r="6" ht="20.05" customHeight="1">
      <c r="A6" s="9"/>
      <c r="B6" t="s" s="10">
        <v>64</v>
      </c>
      <c r="C6" s="77">
        <f>1+C4</f>
        <v>1.02</v>
      </c>
      <c r="D6" s="83">
        <f>1+D4</f>
        <v>1.02</v>
      </c>
    </row>
    <row r="7" ht="20.05" customHeight="1">
      <c r="A7" s="9"/>
      <c r="B7" s="66"/>
      <c r="C7" s="77"/>
      <c r="D7" s="68"/>
    </row>
    <row r="8" ht="20.05" customHeight="1">
      <c r="A8" t="s" s="43">
        <v>65</v>
      </c>
      <c r="B8" s="58">
        <v>1</v>
      </c>
      <c r="C8" s="44">
        <f>-C29-C50+C71+C92-C113</f>
        <v>1412.434569</v>
      </c>
      <c r="D8" s="45">
        <f>-D29-D50+D71+D92-D113</f>
        <v>1659.66498464</v>
      </c>
    </row>
    <row r="9" ht="20.05" customHeight="1">
      <c r="A9" s="9"/>
      <c r="B9" s="58">
        <f>$B8+1</f>
        <v>2</v>
      </c>
      <c r="C9" s="44">
        <f>-C30-C51+C72+C93-C114</f>
        <v>1413.735093909410</v>
      </c>
      <c r="D9" s="45">
        <f>-D30-D51+D72+D93-D114</f>
        <v>1656.263843053580</v>
      </c>
    </row>
    <row r="10" ht="20.05" customHeight="1">
      <c r="A10" s="9"/>
      <c r="B10" s="58">
        <f>$B9+1</f>
        <v>3</v>
      </c>
      <c r="C10" s="44">
        <f>-C31-C52+C73+C94-C115</f>
        <v>1415.590024738</v>
      </c>
      <c r="D10" s="45">
        <f>-D31-D52+D73+D94-D115</f>
        <v>1653.512216699740</v>
      </c>
    </row>
    <row r="11" ht="20.05" customHeight="1">
      <c r="A11" s="9"/>
      <c r="B11" s="58">
        <f>$B10+1</f>
        <v>4</v>
      </c>
      <c r="C11" s="44">
        <f>-C32-C53+C74+C95-C116</f>
        <v>1418.000088909630</v>
      </c>
      <c r="D11" s="45">
        <f>-D32-D53+D74+D95-D116</f>
        <v>1651.409026509310</v>
      </c>
    </row>
    <row r="12" ht="20.05" customHeight="1">
      <c r="A12" s="9"/>
      <c r="B12" s="58">
        <f>$B11+1</f>
        <v>5</v>
      </c>
      <c r="C12" s="44">
        <f>-C33-C54+C75+C96-C117</f>
        <v>1420.9662315475</v>
      </c>
      <c r="D12" s="45">
        <f>-D33-D54+D75+D96-D117</f>
        <v>1649.953447701820</v>
      </c>
    </row>
    <row r="13" ht="20.05" customHeight="1">
      <c r="A13" s="9"/>
      <c r="B13" s="58">
        <f>$B12+1</f>
        <v>6</v>
      </c>
      <c r="C13" s="44">
        <f>-C34-C55+C76+C97-C118</f>
        <v>1424.489615844790</v>
      </c>
      <c r="D13" s="45">
        <f>-D34-D55+D76+D97-D118</f>
        <v>1649.144909462050</v>
      </c>
    </row>
    <row r="14" ht="20.05" customHeight="1">
      <c r="A14" s="9"/>
      <c r="B14" s="58">
        <f>$B13+1</f>
        <v>7</v>
      </c>
      <c r="C14" s="44">
        <f>-C35-C56+C77+C98-C119</f>
        <v>1428.571623520850</v>
      </c>
      <c r="D14" s="45">
        <f>-D35-D56+D77+D98-D119</f>
        <v>1648.9830947162</v>
      </c>
    </row>
    <row r="15" ht="20.05" customHeight="1">
      <c r="A15" s="9"/>
      <c r="B15" s="58">
        <f>$B14+1</f>
        <v>8</v>
      </c>
      <c r="C15" s="44">
        <f>-C36-C57+C78+C99-C120</f>
        <v>1433.213855363</v>
      </c>
      <c r="D15" s="45">
        <f>-D36-D57+D78+D99-D120</f>
        <v>1649.467940007480</v>
      </c>
    </row>
    <row r="16" ht="20.05" customHeight="1">
      <c r="A16" s="9"/>
      <c r="B16" s="58">
        <f>$B15+1</f>
        <v>9</v>
      </c>
      <c r="C16" s="44">
        <f>-C37-C58+C79+C100-C121</f>
        <v>1438.4181318543</v>
      </c>
      <c r="D16" s="45">
        <f>-D37-D58+D79+D100-D121</f>
        <v>1650.599635471330</v>
      </c>
    </row>
    <row r="17" ht="20.05" customHeight="1">
      <c r="A17" s="9"/>
      <c r="B17" s="58">
        <f>$B16+1</f>
        <v>10</v>
      </c>
      <c r="C17" s="44">
        <f>-C38-C59+C80+C101-C122</f>
        <v>1444.186493887520</v>
      </c>
      <c r="D17" s="45">
        <f>-D38-D59+D80+D101-D122</f>
        <v>1652.378624909850</v>
      </c>
    </row>
    <row r="18" ht="20.05" customHeight="1">
      <c r="A18" s="9"/>
      <c r="B18" s="58">
        <f>$B17+1</f>
        <v>11</v>
      </c>
      <c r="C18" s="44">
        <f>-C39-C60+C81+C102-C123</f>
        <v>1450.521203565380</v>
      </c>
      <c r="D18" s="45">
        <f>-D39-D60+D81+D102-D123</f>
        <v>1654.805605966010</v>
      </c>
    </row>
    <row r="19" ht="20.05" customHeight="1">
      <c r="A19" s="9"/>
      <c r="B19" s="58">
        <f>$B18+1</f>
        <v>12</v>
      </c>
      <c r="C19" s="44">
        <f>-C40-C61+C82+C103-C124</f>
        <v>1457.424745087790</v>
      </c>
      <c r="D19" s="45">
        <f>-D40-D61+D82+D103-D124</f>
        <v>1657.881530397030</v>
      </c>
    </row>
    <row r="20" ht="20.05" customHeight="1">
      <c r="A20" s="9"/>
      <c r="B20" s="58">
        <f>$B19+1</f>
        <v>13</v>
      </c>
      <c r="C20" s="44">
        <f>-C41-C62+C83+C104-C125</f>
        <v>1464.899825725920</v>
      </c>
      <c r="D20" s="45">
        <f>-D41-D62+D83+D104-D125</f>
        <v>1661.607604447830</v>
      </c>
    </row>
    <row r="21" ht="20.05" customHeight="1">
      <c r="A21" s="9"/>
      <c r="B21" s="58">
        <f>$B20+1</f>
        <v>14</v>
      </c>
      <c r="C21" s="44">
        <f>-C42-C63+C84+C105-C126</f>
        <v>1472.949376883940</v>
      </c>
      <c r="D21" s="45">
        <f>-D42-D63+D84+D105-D126</f>
        <v>1665.985289323910</v>
      </c>
    </row>
    <row r="22" ht="20.05" customHeight="1">
      <c r="A22" s="9"/>
      <c r="B22" s="58">
        <f>$B21+1</f>
        <v>15</v>
      </c>
      <c r="C22" s="44">
        <f>-C43-C64+C85+C106-C127</f>
        <v>1481.576555248590</v>
      </c>
      <c r="D22" s="45">
        <f>-D43-D64+D85+D106-D127</f>
        <v>1671.016301764420</v>
      </c>
    </row>
    <row r="23" ht="20.05" customHeight="1">
      <c r="A23" s="9"/>
      <c r="B23" s="58">
        <f>$B22+1</f>
        <v>16</v>
      </c>
      <c r="C23" s="44">
        <f>-C44-C65+C86+C107-C128</f>
        <v>1490.784744027050</v>
      </c>
      <c r="D23" s="45">
        <f>-D44-D65+D86+D107-D128</f>
        <v>1676.702614715430</v>
      </c>
    </row>
    <row r="24" ht="20.05" customHeight="1">
      <c r="A24" s="9"/>
      <c r="B24" s="58">
        <f>$B23+1</f>
        <v>17</v>
      </c>
      <c r="C24" s="44">
        <f>-C45-C66+C87+C108-C129</f>
        <v>1500.577554273760</v>
      </c>
      <c r="D24" s="45">
        <f>-D45-D66+D87+D108-D129</f>
        <v>1683.046458103570</v>
      </c>
    </row>
    <row r="25" ht="20.05" customHeight="1">
      <c r="A25" s="9"/>
      <c r="B25" s="58">
        <f>$B24+1</f>
        <v>18</v>
      </c>
      <c r="C25" s="44">
        <f>-C46-C67+C88+C109-C130</f>
        <v>1510.958826306460</v>
      </c>
      <c r="D25" s="45">
        <f>-D46-D67+D88+D109-D130</f>
        <v>1690.050319710590</v>
      </c>
    </row>
    <row r="26" ht="20.05" customHeight="1">
      <c r="A26" s="9"/>
      <c r="B26" s="58">
        <f>$B25+1</f>
        <v>19</v>
      </c>
      <c r="C26" s="44">
        <f>-C47-C68+C89+C110-C131</f>
        <v>1521.932631212230</v>
      </c>
      <c r="D26" s="45">
        <f>-D47-D68+D89+D110-D131</f>
        <v>1697.716946148870</v>
      </c>
    </row>
    <row r="27" ht="20.05" customHeight="1">
      <c r="A27" s="9"/>
      <c r="B27" s="58">
        <f>$B26+1</f>
        <v>20</v>
      </c>
      <c r="C27" s="44">
        <f>-C48-C69+C90+C111-C132</f>
        <v>1533.503272443950</v>
      </c>
      <c r="D27" s="45">
        <f>-D48-D69+D90+D111-D132</f>
        <v>1706.049343938570</v>
      </c>
    </row>
    <row r="28" ht="20.05" customHeight="1">
      <c r="A28" s="9"/>
      <c r="B28" s="66"/>
      <c r="C28" s="78"/>
      <c r="D28" s="79"/>
    </row>
    <row r="29" ht="20.05" customHeight="1">
      <c r="A29" t="s" s="43">
        <v>66</v>
      </c>
      <c r="B29" s="58">
        <v>1</v>
      </c>
      <c r="C29" s="44">
        <f>'Cashflow'!C28*(1+C$5-C$6)^$B29</f>
        <v>72.93000000000001</v>
      </c>
      <c r="D29" s="45">
        <f>'Cashflow'!D28*(1+D$5-D$6)^$B29</f>
        <v>96.39</v>
      </c>
    </row>
    <row r="30" ht="20.05" customHeight="1">
      <c r="A30" s="9"/>
      <c r="B30" s="58">
        <f>$B29+1</f>
        <v>2</v>
      </c>
      <c r="C30" s="44">
        <f>'Cashflow'!C29*(1+C$5-C$6)^$B30</f>
        <v>74.3886</v>
      </c>
      <c r="D30" s="45">
        <f>'Cashflow'!D29*(1+D$5-D$6)^$B30</f>
        <v>98.31780000000001</v>
      </c>
    </row>
    <row r="31" ht="20.05" customHeight="1">
      <c r="A31" s="9"/>
      <c r="B31" s="58">
        <f>$B30+1</f>
        <v>3</v>
      </c>
      <c r="C31" s="44">
        <f>'Cashflow'!C30*(1+C$5-C$6)^$B31</f>
        <v>75.876372</v>
      </c>
      <c r="D31" s="45">
        <f>'Cashflow'!D30*(1+D$5-D$6)^$B31</f>
        <v>100.284156</v>
      </c>
    </row>
    <row r="32" ht="20.05" customHeight="1">
      <c r="A32" s="9"/>
      <c r="B32" s="58">
        <f>$B31+1</f>
        <v>4</v>
      </c>
      <c r="C32" s="44">
        <f>'Cashflow'!C31*(1+C$5-C$6)^$B32</f>
        <v>77.39389944</v>
      </c>
      <c r="D32" s="45">
        <f>'Cashflow'!D31*(1+D$5-D$6)^$B32</f>
        <v>102.28983912</v>
      </c>
    </row>
    <row r="33" ht="20.05" customHeight="1">
      <c r="A33" s="9"/>
      <c r="B33" s="58">
        <f>$B32+1</f>
        <v>5</v>
      </c>
      <c r="C33" s="44">
        <f>'Cashflow'!C32*(1+C$5-C$6)^$B33</f>
        <v>78.94177742879999</v>
      </c>
      <c r="D33" s="45">
        <f>'Cashflow'!D32*(1+D$5-D$6)^$B33</f>
        <v>104.3356359024</v>
      </c>
    </row>
    <row r="34" ht="20.05" customHeight="1">
      <c r="A34" s="9"/>
      <c r="B34" s="58">
        <f>$B33+1</f>
        <v>6</v>
      </c>
      <c r="C34" s="44">
        <f>'Cashflow'!C33*(1+C$5-C$6)^$B34</f>
        <v>80.520612977376</v>
      </c>
      <c r="D34" s="45">
        <f>'Cashflow'!D33*(1+D$5-D$6)^$B34</f>
        <v>106.422348620448</v>
      </c>
    </row>
    <row r="35" ht="20.05" customHeight="1">
      <c r="A35" s="9"/>
      <c r="B35" s="58">
        <f>$B34+1</f>
        <v>7</v>
      </c>
      <c r="C35" s="44">
        <f>'Cashflow'!C34*(1+C$5-C$6)^$B35</f>
        <v>82.13102523692351</v>
      </c>
      <c r="D35" s="45">
        <f>'Cashflow'!D34*(1+D$5-D$6)^$B35</f>
        <v>108.550795592857</v>
      </c>
    </row>
    <row r="36" ht="20.05" customHeight="1">
      <c r="A36" s="9"/>
      <c r="B36" s="58">
        <f>$B35+1</f>
        <v>8</v>
      </c>
      <c r="C36" s="44">
        <f>'Cashflow'!C35*(1+C$5-C$6)^$B36</f>
        <v>83.77364574166199</v>
      </c>
      <c r="D36" s="45">
        <f>'Cashflow'!D35*(1+D$5-D$6)^$B36</f>
        <v>110.721811504714</v>
      </c>
    </row>
    <row r="37" ht="20.05" customHeight="1">
      <c r="A37" s="9"/>
      <c r="B37" s="58">
        <f>$B36+1</f>
        <v>9</v>
      </c>
      <c r="C37" s="44">
        <f>'Cashflow'!C36*(1+C$5-C$6)^$B37</f>
        <v>85.4491186564952</v>
      </c>
      <c r="D37" s="45">
        <f>'Cashflow'!D36*(1+D$5-D$6)^$B37</f>
        <v>112.936247734808</v>
      </c>
    </row>
    <row r="38" ht="20.05" customHeight="1">
      <c r="A38" s="9"/>
      <c r="B38" s="58">
        <f>$B37+1</f>
        <v>10</v>
      </c>
      <c r="C38" s="44">
        <f>'Cashflow'!C37*(1+C$5-C$6)^$B38</f>
        <v>87.1581010296251</v>
      </c>
      <c r="D38" s="45">
        <f>'Cashflow'!D37*(1+D$5-D$6)^$B38</f>
        <v>115.194972689505</v>
      </c>
    </row>
    <row r="39" ht="20.05" customHeight="1">
      <c r="A39" s="9"/>
      <c r="B39" s="58">
        <f>$B38+1</f>
        <v>11</v>
      </c>
      <c r="C39" s="44">
        <f>'Cashflow'!C38*(1+C$5-C$6)^$B39</f>
        <v>88.90126305021769</v>
      </c>
      <c r="D39" s="45">
        <f>'Cashflow'!D38*(1+D$5-D$6)^$B39</f>
        <v>117.498872143295</v>
      </c>
    </row>
    <row r="40" ht="20.05" customHeight="1">
      <c r="A40" s="9"/>
      <c r="B40" s="58">
        <f>$B39+1</f>
        <v>12</v>
      </c>
      <c r="C40" s="44">
        <f>'Cashflow'!C39*(1+C$5-C$6)^$B40</f>
        <v>90.679288311222</v>
      </c>
      <c r="D40" s="45">
        <f>'Cashflow'!D39*(1+D$5-D$6)^$B40</f>
        <v>119.848849586161</v>
      </c>
    </row>
    <row r="41" ht="20.05" customHeight="1">
      <c r="A41" s="9"/>
      <c r="B41" s="58">
        <f>$B40+1</f>
        <v>13</v>
      </c>
      <c r="C41" s="44">
        <f>'Cashflow'!C40*(1+C$5-C$6)^$B41</f>
        <v>92.4928740774465</v>
      </c>
      <c r="D41" s="45">
        <f>'Cashflow'!D40*(1+D$5-D$6)^$B41</f>
        <v>122.245826577884</v>
      </c>
    </row>
    <row r="42" ht="20.05" customHeight="1">
      <c r="A42" s="9"/>
      <c r="B42" s="58">
        <f>$B41+1</f>
        <v>14</v>
      </c>
      <c r="C42" s="44">
        <f>'Cashflow'!C41*(1+C$5-C$6)^$B42</f>
        <v>94.3427315589954</v>
      </c>
      <c r="D42" s="45">
        <f>'Cashflow'!D41*(1+D$5-D$6)^$B42</f>
        <v>124.690743109441</v>
      </c>
    </row>
    <row r="43" ht="20.05" customHeight="1">
      <c r="A43" s="9"/>
      <c r="B43" s="58">
        <f>$B42+1</f>
        <v>15</v>
      </c>
      <c r="C43" s="44">
        <f>'Cashflow'!C42*(1+C$5-C$6)^$B43</f>
        <v>96.2295861901753</v>
      </c>
      <c r="D43" s="45">
        <f>'Cashflow'!D42*(1+D$5-D$6)^$B43</f>
        <v>127.184557971630</v>
      </c>
    </row>
    <row r="44" ht="20.05" customHeight="1">
      <c r="A44" s="9"/>
      <c r="B44" s="58">
        <f>$B43+1</f>
        <v>16</v>
      </c>
      <c r="C44" s="44">
        <f>'Cashflow'!C43*(1+C$5-C$6)^$B44</f>
        <v>98.1541779139788</v>
      </c>
      <c r="D44" s="45">
        <f>'Cashflow'!D43*(1+D$5-D$6)^$B44</f>
        <v>129.728249131063</v>
      </c>
    </row>
    <row r="45" ht="20.05" customHeight="1">
      <c r="A45" s="9"/>
      <c r="B45" s="58">
        <f>$B44+1</f>
        <v>17</v>
      </c>
      <c r="C45" s="44">
        <f>'Cashflow'!C44*(1+C$5-C$6)^$B45</f>
        <v>100.117261472258</v>
      </c>
      <c r="D45" s="45">
        <f>'Cashflow'!D44*(1+D$5-D$6)^$B45</f>
        <v>132.322814113684</v>
      </c>
    </row>
    <row r="46" ht="20.05" customHeight="1">
      <c r="A46" s="9"/>
      <c r="B46" s="58">
        <f>$B45+1</f>
        <v>18</v>
      </c>
      <c r="C46" s="44">
        <f>'Cashflow'!C45*(1+C$5-C$6)^$B46</f>
        <v>102.119606701704</v>
      </c>
      <c r="D46" s="45">
        <f>'Cashflow'!D45*(1+D$5-D$6)^$B46</f>
        <v>134.969270395958</v>
      </c>
    </row>
    <row r="47" ht="20.05" customHeight="1">
      <c r="A47" s="9"/>
      <c r="B47" s="58">
        <f>$B46+1</f>
        <v>19</v>
      </c>
      <c r="C47" s="44">
        <f>'Cashflow'!C46*(1+C$5-C$6)^$B47</f>
        <v>104.161998835738</v>
      </c>
      <c r="D47" s="45">
        <f>'Cashflow'!D46*(1+D$5-D$6)^$B47</f>
        <v>137.668655803877</v>
      </c>
    </row>
    <row r="48" ht="20.05" customHeight="1">
      <c r="A48" s="9"/>
      <c r="B48" s="58">
        <f>$B47+1</f>
        <v>20</v>
      </c>
      <c r="C48" s="44">
        <f>'Cashflow'!C47*(1+C$5-C$6)^$B48</f>
        <v>106.245238812452</v>
      </c>
      <c r="D48" s="45">
        <f>'Cashflow'!D47*(1+D$5-D$6)^$B48</f>
        <v>140.422028919955</v>
      </c>
    </row>
    <row r="49" ht="20.05" customHeight="1">
      <c r="A49" s="9"/>
      <c r="B49" s="66"/>
      <c r="C49" s="78"/>
      <c r="D49" s="79"/>
    </row>
    <row r="50" ht="20.05" customHeight="1">
      <c r="A50" t="s" s="43">
        <v>67</v>
      </c>
      <c r="B50" s="58">
        <v>1</v>
      </c>
      <c r="C50" s="44">
        <f>'Cashflow'!C49*(1+C$5-C$6)^$B50</f>
        <v>74.58750000000001</v>
      </c>
      <c r="D50" s="45">
        <f>'Cashflow'!D49*(1+D$5-D$6)^$B50</f>
        <v>97.614</v>
      </c>
    </row>
    <row r="51" ht="20.05" customHeight="1">
      <c r="A51" s="9"/>
      <c r="B51" s="58">
        <f>$B50+1</f>
        <v>2</v>
      </c>
      <c r="C51" s="44">
        <f>'Cashflow'!C50*(1+C$5-C$6)^$B51</f>
        <v>76.07925</v>
      </c>
      <c r="D51" s="45">
        <f>'Cashflow'!D50*(1+D$5-D$6)^$B51</f>
        <v>99.56628000000001</v>
      </c>
    </row>
    <row r="52" ht="20.05" customHeight="1">
      <c r="A52" s="9"/>
      <c r="B52" s="58">
        <f>$B51+1</f>
        <v>3</v>
      </c>
      <c r="C52" s="44">
        <f>'Cashflow'!C51*(1+C$5-C$6)^$B52</f>
        <v>77.600835</v>
      </c>
      <c r="D52" s="45">
        <f>'Cashflow'!D51*(1+D$5-D$6)^$B52</f>
        <v>101.5576056</v>
      </c>
    </row>
    <row r="53" ht="20.05" customHeight="1">
      <c r="A53" s="9"/>
      <c r="B53" s="58">
        <f>$B52+1</f>
        <v>4</v>
      </c>
      <c r="C53" s="44">
        <f>'Cashflow'!C52*(1+C$5-C$6)^$B53</f>
        <v>79.1528517</v>
      </c>
      <c r="D53" s="45">
        <f>'Cashflow'!D52*(1+D$5-D$6)^$B53</f>
        <v>103.588757712</v>
      </c>
    </row>
    <row r="54" ht="20.05" customHeight="1">
      <c r="A54" s="9"/>
      <c r="B54" s="58">
        <f>$B53+1</f>
        <v>5</v>
      </c>
      <c r="C54" s="44">
        <f>'Cashflow'!C53*(1+C$5-C$6)^$B54</f>
        <v>80.73590873400001</v>
      </c>
      <c r="D54" s="45">
        <f>'Cashflow'!D53*(1+D$5-D$6)^$B54</f>
        <v>105.660532866240</v>
      </c>
    </row>
    <row r="55" ht="20.05" customHeight="1">
      <c r="A55" s="9"/>
      <c r="B55" s="58">
        <f>$B54+1</f>
        <v>6</v>
      </c>
      <c r="C55" s="44">
        <f>'Cashflow'!C54*(1+C$5-C$6)^$B55</f>
        <v>82.350626908680</v>
      </c>
      <c r="D55" s="45">
        <f>'Cashflow'!D54*(1+D$5-D$6)^$B55</f>
        <v>107.773743523565</v>
      </c>
    </row>
    <row r="56" ht="20.05" customHeight="1">
      <c r="A56" s="9"/>
      <c r="B56" s="58">
        <f>$B55+1</f>
        <v>7</v>
      </c>
      <c r="C56" s="44">
        <f>'Cashflow'!C55*(1+C$5-C$6)^$B56</f>
        <v>83.9976394468536</v>
      </c>
      <c r="D56" s="45">
        <f>'Cashflow'!D55*(1+D$5-D$6)^$B56</f>
        <v>109.929218394036</v>
      </c>
    </row>
    <row r="57" ht="20.05" customHeight="1">
      <c r="A57" s="9"/>
      <c r="B57" s="58">
        <f>$B56+1</f>
        <v>8</v>
      </c>
      <c r="C57" s="44">
        <f>'Cashflow'!C56*(1+C$5-C$6)^$B57</f>
        <v>85.6775922357907</v>
      </c>
      <c r="D57" s="45">
        <f>'Cashflow'!D56*(1+D$5-D$6)^$B57</f>
        <v>112.127802761917</v>
      </c>
    </row>
    <row r="58" ht="20.05" customHeight="1">
      <c r="A58" s="9"/>
      <c r="B58" s="58">
        <f>$B57+1</f>
        <v>9</v>
      </c>
      <c r="C58" s="44">
        <f>'Cashflow'!C57*(1+C$5-C$6)^$B58</f>
        <v>87.39114408050651</v>
      </c>
      <c r="D58" s="45">
        <f>'Cashflow'!D57*(1+D$5-D$6)^$B58</f>
        <v>114.370358817155</v>
      </c>
    </row>
    <row r="59" ht="20.05" customHeight="1">
      <c r="A59" s="9"/>
      <c r="B59" s="58">
        <f>$B58+1</f>
        <v>10</v>
      </c>
      <c r="C59" s="44">
        <f>'Cashflow'!C58*(1+C$5-C$6)^$B59</f>
        <v>89.1389669621166</v>
      </c>
      <c r="D59" s="45">
        <f>'Cashflow'!D58*(1+D$5-D$6)^$B59</f>
        <v>116.657765993498</v>
      </c>
    </row>
    <row r="60" ht="20.05" customHeight="1">
      <c r="A60" s="9"/>
      <c r="B60" s="58">
        <f>$B59+1</f>
        <v>11</v>
      </c>
      <c r="C60" s="44">
        <f>'Cashflow'!C59*(1+C$5-C$6)^$B60</f>
        <v>90.92174630135899</v>
      </c>
      <c r="D60" s="45">
        <f>'Cashflow'!D59*(1+D$5-D$6)^$B60</f>
        <v>118.990921313368</v>
      </c>
    </row>
    <row r="61" ht="20.05" customHeight="1">
      <c r="A61" s="9"/>
      <c r="B61" s="58">
        <f>$B60+1</f>
        <v>12</v>
      </c>
      <c r="C61" s="44">
        <f>'Cashflow'!C60*(1+C$5-C$6)^$B61</f>
        <v>92.7401812273861</v>
      </c>
      <c r="D61" s="45">
        <f>'Cashflow'!D60*(1+D$5-D$6)^$B61</f>
        <v>121.370739739636</v>
      </c>
    </row>
    <row r="62" ht="20.05" customHeight="1">
      <c r="A62" s="9"/>
      <c r="B62" s="58">
        <f>$B61+1</f>
        <v>13</v>
      </c>
      <c r="C62" s="44">
        <f>'Cashflow'!C61*(1+C$5-C$6)^$B62</f>
        <v>94.5949848519339</v>
      </c>
      <c r="D62" s="45">
        <f>'Cashflow'!D61*(1+D$5-D$6)^$B62</f>
        <v>123.798154534428</v>
      </c>
    </row>
    <row r="63" ht="20.05" customHeight="1">
      <c r="A63" s="9"/>
      <c r="B63" s="58">
        <f>$B62+1</f>
        <v>14</v>
      </c>
      <c r="C63" s="44">
        <f>'Cashflow'!C62*(1+C$5-C$6)^$B63</f>
        <v>96.4868845489725</v>
      </c>
      <c r="D63" s="45">
        <f>'Cashflow'!D62*(1+D$5-D$6)^$B63</f>
        <v>126.274117625117</v>
      </c>
    </row>
    <row r="64" ht="20.05" customHeight="1">
      <c r="A64" s="9"/>
      <c r="B64" s="58">
        <f>$B63+1</f>
        <v>15</v>
      </c>
      <c r="C64" s="44">
        <f>'Cashflow'!C63*(1+C$5-C$6)^$B64</f>
        <v>98.41662223995201</v>
      </c>
      <c r="D64" s="45">
        <f>'Cashflow'!D63*(1+D$5-D$6)^$B64</f>
        <v>128.799599977619</v>
      </c>
    </row>
    <row r="65" ht="20.05" customHeight="1">
      <c r="A65" s="9"/>
      <c r="B65" s="58">
        <f>$B64+1</f>
        <v>16</v>
      </c>
      <c r="C65" s="44">
        <f>'Cashflow'!C64*(1+C$5-C$6)^$B65</f>
        <v>100.384954684751</v>
      </c>
      <c r="D65" s="45">
        <f>'Cashflow'!D64*(1+D$5-D$6)^$B65</f>
        <v>131.375591977172</v>
      </c>
    </row>
    <row r="66" ht="20.05" customHeight="1">
      <c r="A66" s="9"/>
      <c r="B66" s="58">
        <f>$B65+1</f>
        <v>17</v>
      </c>
      <c r="C66" s="44">
        <f>'Cashflow'!C65*(1+C$5-C$6)^$B66</f>
        <v>102.392653778446</v>
      </c>
      <c r="D66" s="45">
        <f>'Cashflow'!D65*(1+D$5-D$6)^$B66</f>
        <v>134.003103816715</v>
      </c>
    </row>
    <row r="67" ht="20.05" customHeight="1">
      <c r="A67" s="9"/>
      <c r="B67" s="58">
        <f>$B66+1</f>
        <v>18</v>
      </c>
      <c r="C67" s="44">
        <f>'Cashflow'!C66*(1+C$5-C$6)^$B67</f>
        <v>104.440506854015</v>
      </c>
      <c r="D67" s="45">
        <f>'Cashflow'!D66*(1+D$5-D$6)^$B67</f>
        <v>136.683165893049</v>
      </c>
    </row>
    <row r="68" ht="20.05" customHeight="1">
      <c r="A68" s="9"/>
      <c r="B68" s="58">
        <f>$B67+1</f>
        <v>19</v>
      </c>
      <c r="C68" s="44">
        <f>'Cashflow'!C67*(1+C$5-C$6)^$B68</f>
        <v>106.529316991095</v>
      </c>
      <c r="D68" s="45">
        <f>'Cashflow'!D67*(1+D$5-D$6)^$B68</f>
        <v>139.416829210910</v>
      </c>
    </row>
    <row r="69" ht="20.05" customHeight="1">
      <c r="A69" s="9"/>
      <c r="B69" s="58">
        <f>$B68+1</f>
        <v>20</v>
      </c>
      <c r="C69" s="44">
        <f>'Cashflow'!C68*(1+C$5-C$6)^$B69</f>
        <v>108.659903330917</v>
      </c>
      <c r="D69" s="45">
        <f>'Cashflow'!D68*(1+D$5-D$6)^$B69</f>
        <v>142.205165795129</v>
      </c>
    </row>
    <row r="70" ht="20.05" customHeight="1">
      <c r="A70" s="9"/>
      <c r="B70" s="66"/>
      <c r="C70" s="78"/>
      <c r="D70" s="79"/>
    </row>
    <row r="71" ht="20.05" customHeight="1">
      <c r="A71" t="s" s="43">
        <v>68</v>
      </c>
      <c r="B71" s="58">
        <v>1</v>
      </c>
      <c r="C71" s="44">
        <f>'Cashflow'!C70/(C$6)^$B71</f>
        <v>680.3745</v>
      </c>
      <c r="D71" s="45">
        <f>'Cashflow'!D70/(D$6)^$B71</f>
        <v>923.9190620000001</v>
      </c>
    </row>
    <row r="72" ht="20.05" customHeight="1">
      <c r="A72" s="9"/>
      <c r="B72" s="58">
        <f>$B71+1</f>
        <v>2</v>
      </c>
      <c r="C72" s="44">
        <f>'Cashflow'!C71/(C$6)^$B72</f>
        <v>667.033823529412</v>
      </c>
      <c r="D72" s="45">
        <f>'Cashflow'!D71/(D$6)^$B72</f>
        <v>905.8030019607839</v>
      </c>
    </row>
    <row r="73" ht="20.05" customHeight="1">
      <c r="A73" s="9"/>
      <c r="B73" s="58">
        <f>$B72+1</f>
        <v>3</v>
      </c>
      <c r="C73" s="44">
        <f>'Cashflow'!C72/(C$6)^$B73</f>
        <v>653.954728950404</v>
      </c>
      <c r="D73" s="45">
        <f>'Cashflow'!D72/(D$6)^$B73</f>
        <v>888.042158785083</v>
      </c>
    </row>
    <row r="74" ht="20.05" customHeight="1">
      <c r="A74" s="9"/>
      <c r="B74" s="58">
        <f>$B73+1</f>
        <v>4</v>
      </c>
      <c r="C74" s="44">
        <f>'Cashflow'!C73/(C$6)^$B74</f>
        <v>641.132087206278</v>
      </c>
      <c r="D74" s="45">
        <f>'Cashflow'!D73/(D$6)^$B74</f>
        <v>870.629567436356</v>
      </c>
    </row>
    <row r="75" ht="20.05" customHeight="1">
      <c r="A75" s="9"/>
      <c r="B75" s="58">
        <f>$B74+1</f>
        <v>5</v>
      </c>
      <c r="C75" s="44">
        <f>'Cashflow'!C74/(C$6)^$B75</f>
        <v>628.560869810077</v>
      </c>
      <c r="D75" s="45">
        <f>'Cashflow'!D74/(D$6)^$B75</f>
        <v>853.5583994474071</v>
      </c>
    </row>
    <row r="76" ht="20.05" customHeight="1">
      <c r="A76" s="9"/>
      <c r="B76" s="58">
        <f>$B75+1</f>
        <v>6</v>
      </c>
      <c r="C76" s="44">
        <f>'Cashflow'!C75/(C$6)^$B76</f>
        <v>616.236146872624</v>
      </c>
      <c r="D76" s="45">
        <f>'Cashflow'!D75/(D$6)^$B76</f>
        <v>836.821960242556</v>
      </c>
    </row>
    <row r="77" ht="20.05" customHeight="1">
      <c r="A77" s="9"/>
      <c r="B77" s="58">
        <f>$B76+1</f>
        <v>7</v>
      </c>
      <c r="C77" s="44">
        <f>'Cashflow'!C76/(C$6)^$B77</f>
        <v>604.153085169239</v>
      </c>
      <c r="D77" s="45">
        <f>'Cashflow'!D76/(D$6)^$B77</f>
        <v>820.4136865123101</v>
      </c>
    </row>
    <row r="78" ht="20.05" customHeight="1">
      <c r="A78" s="9"/>
      <c r="B78" s="58">
        <f>$B77+1</f>
        <v>8</v>
      </c>
      <c r="C78" s="44">
        <f>'Cashflow'!C77/(C$6)^$B78</f>
        <v>592.306946244352</v>
      </c>
      <c r="D78" s="45">
        <f>'Cashflow'!D77/(D$6)^$B78</f>
        <v>804.327143639520</v>
      </c>
    </row>
    <row r="79" ht="20.05" customHeight="1">
      <c r="A79" s="9"/>
      <c r="B79" s="58">
        <f>$B78+1</f>
        <v>9</v>
      </c>
      <c r="C79" s="44">
        <f>'Cashflow'!C78/(C$6)^$B79</f>
        <v>580.693084553286</v>
      </c>
      <c r="D79" s="45">
        <f>'Cashflow'!D78/(D$6)^$B79</f>
        <v>788.5560231760001</v>
      </c>
    </row>
    <row r="80" ht="20.05" customHeight="1">
      <c r="A80" s="9"/>
      <c r="B80" s="58">
        <f>$B79+1</f>
        <v>10</v>
      </c>
      <c r="C80" s="44">
        <f>'Cashflow'!C79/(C$6)^$B80</f>
        <v>569.306945640477</v>
      </c>
      <c r="D80" s="45">
        <f>'Cashflow'!D79/(D$6)^$B80</f>
        <v>773.094140368627</v>
      </c>
    </row>
    <row r="81" ht="20.05" customHeight="1">
      <c r="A81" s="9"/>
      <c r="B81" s="58">
        <f>$B80+1</f>
        <v>11</v>
      </c>
      <c r="C81" s="44">
        <f>'Cashflow'!C80/(C$6)^$B81</f>
        <v>558.144064353409</v>
      </c>
      <c r="D81" s="45">
        <f>'Cashflow'!D80/(D$6)^$B81</f>
        <v>757.935431733948</v>
      </c>
    </row>
    <row r="82" ht="20.05" customHeight="1">
      <c r="A82" s="9"/>
      <c r="B82" s="58">
        <f>$B81+1</f>
        <v>12</v>
      </c>
      <c r="C82" s="44">
        <f>'Cashflow'!C81/(C$6)^$B82</f>
        <v>547.200063091577</v>
      </c>
      <c r="D82" s="45">
        <f>'Cashflow'!D81/(D$6)^$B82</f>
        <v>743.073952680341</v>
      </c>
    </row>
    <row r="83" ht="20.05" customHeight="1">
      <c r="A83" s="9"/>
      <c r="B83" s="58">
        <f>$B82+1</f>
        <v>13</v>
      </c>
      <c r="C83" s="44">
        <f>'Cashflow'!C82/(C$6)^$B83</f>
        <v>536.470650089782</v>
      </c>
      <c r="D83" s="45">
        <f>'Cashflow'!D82/(D$6)^$B83</f>
        <v>728.503875176805</v>
      </c>
    </row>
    <row r="84" ht="20.05" customHeight="1">
      <c r="A84" s="9"/>
      <c r="B84" s="58">
        <f>$B83+1</f>
        <v>14</v>
      </c>
      <c r="C84" s="44">
        <f>'Cashflow'!C83/(C$6)^$B84</f>
        <v>525.951617735080</v>
      </c>
      <c r="D84" s="45">
        <f>'Cashflow'!D83/(D$6)^$B84</f>
        <v>714.219485467456</v>
      </c>
    </row>
    <row r="85" ht="20.05" customHeight="1">
      <c r="A85" s="9"/>
      <c r="B85" s="58">
        <f>$B84+1</f>
        <v>15</v>
      </c>
      <c r="C85" s="44">
        <f>'Cashflow'!C84/(C$6)^$B85</f>
        <v>515.638840916745</v>
      </c>
      <c r="D85" s="45">
        <f>'Cashflow'!D84/(D$6)^$B85</f>
        <v>700.215181830839</v>
      </c>
    </row>
    <row r="86" ht="20.05" customHeight="1">
      <c r="A86" s="9"/>
      <c r="B86" s="58">
        <f>$B85+1</f>
        <v>16</v>
      </c>
      <c r="C86" s="44">
        <f>'Cashflow'!C85/(C$6)^$B86</f>
        <v>505.528275408574</v>
      </c>
      <c r="D86" s="45">
        <f>'Cashflow'!D85/(D$6)^$B86</f>
        <v>686.485472383176</v>
      </c>
    </row>
    <row r="87" ht="20.05" customHeight="1">
      <c r="A87" s="9"/>
      <c r="B87" s="58">
        <f>$B86+1</f>
        <v>17</v>
      </c>
      <c r="C87" s="44">
        <f>'Cashflow'!C86/(C$6)^$B87</f>
        <v>495.615956282915</v>
      </c>
      <c r="D87" s="45">
        <f>'Cashflow'!D86/(D$6)^$B87</f>
        <v>673.0249729246819</v>
      </c>
    </row>
    <row r="88" ht="20.05" customHeight="1">
      <c r="A88" s="9"/>
      <c r="B88" s="58">
        <f>$B87+1</f>
        <v>18</v>
      </c>
      <c r="C88" s="44">
        <f>'Cashflow'!C87/(C$6)^$B88</f>
        <v>485.897996355799</v>
      </c>
      <c r="D88" s="45">
        <f>'Cashflow'!D87/(D$6)^$B88</f>
        <v>659.828404828120</v>
      </c>
    </row>
    <row r="89" ht="20.05" customHeight="1">
      <c r="A89" s="9"/>
      <c r="B89" s="58">
        <f>$B88+1</f>
        <v>19</v>
      </c>
      <c r="C89" s="44">
        <f>'Cashflow'!C88/(C$6)^$B89</f>
        <v>476.370584662548</v>
      </c>
      <c r="D89" s="45">
        <f>'Cashflow'!D88/(D$6)^$B89</f>
        <v>646.890592968745</v>
      </c>
    </row>
    <row r="90" ht="20.05" customHeight="1">
      <c r="A90" s="9"/>
      <c r="B90" s="58">
        <f>$B89+1</f>
        <v>20</v>
      </c>
      <c r="C90" s="44">
        <f>'Cashflow'!C89/(C$6)^$B90</f>
        <v>467.029984963283</v>
      </c>
      <c r="D90" s="45">
        <f>'Cashflow'!D89/(D$6)^$B90</f>
        <v>634.206463694848</v>
      </c>
    </row>
    <row r="91" ht="20.05" customHeight="1">
      <c r="A91" s="9"/>
      <c r="B91" s="66"/>
      <c r="C91" s="78"/>
      <c r="D91" s="79"/>
    </row>
    <row r="92" ht="20.05" customHeight="1">
      <c r="A92" t="s" s="43">
        <v>69</v>
      </c>
      <c r="B92" s="58">
        <f t="shared" si="246" ref="B92:B113">1</f>
        <v>1</v>
      </c>
      <c r="C92" s="44">
        <f>'Cashflow'!C91*(1+C$5-C$6)^$B92</f>
        <v>879.577569</v>
      </c>
      <c r="D92" s="45">
        <f>'Cashflow'!D91*(1+D$5-D$6)^$B92</f>
        <v>929.74992264</v>
      </c>
    </row>
    <row r="93" ht="20.05" customHeight="1">
      <c r="A93" s="9"/>
      <c r="B93" s="58">
        <f>$B92+1</f>
        <v>2</v>
      </c>
      <c r="C93" s="44">
        <f>'Cashflow'!C92*(1+C$5-C$6)^$B93</f>
        <v>897.16912038</v>
      </c>
      <c r="D93" s="45">
        <f>'Cashflow'!D92*(1+D$5-D$6)^$B93</f>
        <v>948.3449210928</v>
      </c>
    </row>
    <row r="94" ht="20.05" customHeight="1">
      <c r="A94" s="9"/>
      <c r="B94" s="58">
        <f>$B93+1</f>
        <v>3</v>
      </c>
      <c r="C94" s="44">
        <f>'Cashflow'!C93*(1+C$5-C$6)^$B94</f>
        <v>915.1125027876</v>
      </c>
      <c r="D94" s="45">
        <f>'Cashflow'!D93*(1+D$5-D$6)^$B94</f>
        <v>967.311819514656</v>
      </c>
    </row>
    <row r="95" ht="20.05" customHeight="1">
      <c r="A95" s="9"/>
      <c r="B95" s="58">
        <f>$B94+1</f>
        <v>4</v>
      </c>
      <c r="C95" s="44">
        <f>'Cashflow'!C94*(1+C$5-C$6)^$B95</f>
        <v>933.4147528433519</v>
      </c>
      <c r="D95" s="45">
        <f>'Cashflow'!D94*(1+D$5-D$6)^$B95</f>
        <v>986.658055904949</v>
      </c>
    </row>
    <row r="96" ht="20.05" customHeight="1">
      <c r="A96" s="9"/>
      <c r="B96" s="58">
        <f>$B95+1</f>
        <v>5</v>
      </c>
      <c r="C96" s="44">
        <f>'Cashflow'!C95*(1+C$5-C$6)^$B96</f>
        <v>952.083047900219</v>
      </c>
      <c r="D96" s="45">
        <f>'Cashflow'!D95*(1+D$5-D$6)^$B96</f>
        <v>1006.391217023050</v>
      </c>
    </row>
    <row r="97" ht="20.05" customHeight="1">
      <c r="A97" s="9"/>
      <c r="B97" s="58">
        <f>$B96+1</f>
        <v>6</v>
      </c>
      <c r="C97" s="44">
        <f>'Cashflow'!C96*(1+C$5-C$6)^$B97</f>
        <v>971.124708858223</v>
      </c>
      <c r="D97" s="45">
        <f>'Cashflow'!D96*(1+D$5-D$6)^$B97</f>
        <v>1026.519041363510</v>
      </c>
    </row>
    <row r="98" ht="20.05" customHeight="1">
      <c r="A98" s="9"/>
      <c r="B98" s="58">
        <f>$B97+1</f>
        <v>7</v>
      </c>
      <c r="C98" s="44">
        <f>'Cashflow'!C97*(1+C$5-C$6)^$B98</f>
        <v>990.547203035388</v>
      </c>
      <c r="D98" s="45">
        <f>'Cashflow'!D97*(1+D$5-D$6)^$B98</f>
        <v>1047.049422190780</v>
      </c>
    </row>
    <row r="99" ht="20.05" customHeight="1">
      <c r="A99" s="9"/>
      <c r="B99" s="58">
        <f>$B98+1</f>
        <v>8</v>
      </c>
      <c r="C99" s="44">
        <f>'Cashflow'!C98*(1+C$5-C$6)^$B99</f>
        <v>1010.3581470961</v>
      </c>
      <c r="D99" s="45">
        <f>'Cashflow'!D98*(1+D$5-D$6)^$B99</f>
        <v>1067.990410634590</v>
      </c>
    </row>
    <row r="100" ht="20.05" customHeight="1">
      <c r="A100" s="9"/>
      <c r="B100" s="58">
        <f>$B99+1</f>
        <v>9</v>
      </c>
      <c r="C100" s="44">
        <f>'Cashflow'!C99*(1+C$5-C$6)^$B100</f>
        <v>1030.565310038020</v>
      </c>
      <c r="D100" s="45">
        <f>'Cashflow'!D99*(1+D$5-D$6)^$B100</f>
        <v>1089.350218847290</v>
      </c>
    </row>
    <row r="101" ht="20.05" customHeight="1">
      <c r="A101" s="9"/>
      <c r="B101" s="58">
        <f>$B100+1</f>
        <v>10</v>
      </c>
      <c r="C101" s="44">
        <f>'Cashflow'!C100*(1+C$5-C$6)^$B101</f>
        <v>1051.176616238780</v>
      </c>
      <c r="D101" s="45">
        <f>'Cashflow'!D100*(1+D$5-D$6)^$B101</f>
        <v>1111.137223224230</v>
      </c>
    </row>
    <row r="102" ht="20.05" customHeight="1">
      <c r="A102" s="9"/>
      <c r="B102" s="58">
        <f>$B101+1</f>
        <v>11</v>
      </c>
      <c r="C102" s="44">
        <f>'Cashflow'!C101*(1+C$5-C$6)^$B102</f>
        <v>1072.200148563550</v>
      </c>
      <c r="D102" s="45">
        <f>'Cashflow'!D101*(1+D$5-D$6)^$B102</f>
        <v>1133.359967688720</v>
      </c>
    </row>
    <row r="103" ht="20.05" customHeight="1">
      <c r="A103" s="9"/>
      <c r="B103" s="58">
        <f>$B102+1</f>
        <v>12</v>
      </c>
      <c r="C103" s="44">
        <f>'Cashflow'!C102*(1+C$5-C$6)^$B103</f>
        <v>1093.644151534820</v>
      </c>
      <c r="D103" s="45">
        <f>'Cashflow'!D102*(1+D$5-D$6)^$B103</f>
        <v>1156.027167042490</v>
      </c>
    </row>
    <row r="104" ht="20.05" customHeight="1">
      <c r="A104" s="9"/>
      <c r="B104" s="58">
        <f>$B103+1</f>
        <v>13</v>
      </c>
      <c r="C104" s="44">
        <f>'Cashflow'!C103*(1+C$5-C$6)^$B104</f>
        <v>1115.517034565520</v>
      </c>
      <c r="D104" s="45">
        <f>'Cashflow'!D103*(1+D$5-D$6)^$B104</f>
        <v>1179.147710383340</v>
      </c>
    </row>
    <row r="105" ht="20.05" customHeight="1">
      <c r="A105" s="9"/>
      <c r="B105" s="58">
        <f>$B104+1</f>
        <v>14</v>
      </c>
      <c r="C105" s="44">
        <f>'Cashflow'!C104*(1+C$5-C$6)^$B105</f>
        <v>1137.827375256830</v>
      </c>
      <c r="D105" s="45">
        <f>'Cashflow'!D104*(1+D$5-D$6)^$B105</f>
        <v>1202.730664591010</v>
      </c>
    </row>
    <row r="106" ht="20.05" customHeight="1">
      <c r="A106" s="9"/>
      <c r="B106" s="58">
        <f>$B105+1</f>
        <v>15</v>
      </c>
      <c r="C106" s="44">
        <f>'Cashflow'!C105*(1+C$5-C$6)^$B106</f>
        <v>1160.583922761970</v>
      </c>
      <c r="D106" s="45">
        <f>'Cashflow'!D105*(1+D$5-D$6)^$B106</f>
        <v>1226.785277882830</v>
      </c>
    </row>
    <row r="107" ht="20.05" customHeight="1">
      <c r="A107" s="9"/>
      <c r="B107" s="58">
        <f>$B106+1</f>
        <v>16</v>
      </c>
      <c r="C107" s="44">
        <f>'Cashflow'!C106*(1+C$5-C$6)^$B107</f>
        <v>1183.795601217210</v>
      </c>
      <c r="D107" s="45">
        <f>'Cashflow'!D106*(1+D$5-D$6)^$B107</f>
        <v>1251.320983440490</v>
      </c>
    </row>
    <row r="108" ht="20.05" customHeight="1">
      <c r="A108" s="9"/>
      <c r="B108" s="58">
        <f>$B107+1</f>
        <v>17</v>
      </c>
      <c r="C108" s="44">
        <f>'Cashflow'!C107*(1+C$5-C$6)^$B108</f>
        <v>1207.471513241550</v>
      </c>
      <c r="D108" s="45">
        <f>'Cashflow'!D107*(1+D$5-D$6)^$B108</f>
        <v>1276.347403109290</v>
      </c>
    </row>
    <row r="109" ht="20.05" customHeight="1">
      <c r="A109" s="9"/>
      <c r="B109" s="58">
        <f>$B108+1</f>
        <v>18</v>
      </c>
      <c r="C109" s="44">
        <f>'Cashflow'!C108*(1+C$5-C$6)^$B109</f>
        <v>1231.620943506380</v>
      </c>
      <c r="D109" s="45">
        <f>'Cashflow'!D108*(1+D$5-D$6)^$B109</f>
        <v>1301.874351171480</v>
      </c>
    </row>
    <row r="110" ht="20.05" customHeight="1">
      <c r="A110" s="9"/>
      <c r="B110" s="58">
        <f>$B109+1</f>
        <v>19</v>
      </c>
      <c r="C110" s="44">
        <f>'Cashflow'!C109*(1+C$5-C$6)^$B110</f>
        <v>1256.253362376510</v>
      </c>
      <c r="D110" s="45">
        <f>'Cashflow'!D109*(1+D$5-D$6)^$B110</f>
        <v>1327.911838194910</v>
      </c>
    </row>
    <row r="111" ht="20.05" customHeight="1">
      <c r="A111" s="9"/>
      <c r="B111" s="58">
        <f>$B110+1</f>
        <v>20</v>
      </c>
      <c r="C111" s="44">
        <f>'Cashflow'!C110*(1+C$5-C$6)^$B111</f>
        <v>1281.378429624040</v>
      </c>
      <c r="D111" s="45">
        <f>'Cashflow'!D110*(1+D$5-D$6)^$B111</f>
        <v>1354.470074958810</v>
      </c>
    </row>
    <row r="112" ht="20.05" customHeight="1">
      <c r="A112" s="9"/>
      <c r="B112" s="66"/>
      <c r="C112" s="44"/>
      <c r="D112" s="45"/>
    </row>
    <row r="113" ht="20.05" customHeight="1">
      <c r="A113" t="s" s="43">
        <v>70</v>
      </c>
      <c r="B113" s="58">
        <f t="shared" si="246"/>
        <v>1</v>
      </c>
      <c r="C113" s="44">
        <f>'Cashflow'!C112*(1+C$5-C$6)^$B113</f>
        <v>0</v>
      </c>
      <c r="D113" s="45">
        <f>'Cashflow'!D112*(1+D$5-D$6)^$B113</f>
        <v>0</v>
      </c>
    </row>
    <row r="114" ht="20.05" customHeight="1">
      <c r="A114" s="9"/>
      <c r="B114" s="58">
        <f>$B113+1</f>
        <v>2</v>
      </c>
      <c r="C114" s="44">
        <f>'Cashflow'!C113*(1+C$5-C$6)^$B114</f>
        <v>0</v>
      </c>
      <c r="D114" s="45">
        <f>'Cashflow'!D113*(1+D$5-D$6)^$B114</f>
        <v>0</v>
      </c>
    </row>
    <row r="115" ht="20.05" customHeight="1">
      <c r="A115" s="9"/>
      <c r="B115" s="58">
        <f>$B114+1</f>
        <v>3</v>
      </c>
      <c r="C115" s="44">
        <f>'Cashflow'!C114*(1+C$5-C$6)^$B115</f>
        <v>0</v>
      </c>
      <c r="D115" s="45">
        <f>'Cashflow'!D114*(1+D$5-D$6)^$B115</f>
        <v>0</v>
      </c>
    </row>
    <row r="116" ht="20.05" customHeight="1">
      <c r="A116" s="9"/>
      <c r="B116" s="58">
        <f>$B115+1</f>
        <v>4</v>
      </c>
      <c r="C116" s="44">
        <f>'Cashflow'!C115*(1+C$5-C$6)^$B116</f>
        <v>0</v>
      </c>
      <c r="D116" s="45">
        <f>'Cashflow'!D115*(1+D$5-D$6)^$B116</f>
        <v>0</v>
      </c>
    </row>
    <row r="117" ht="20.05" customHeight="1">
      <c r="A117" s="9"/>
      <c r="B117" s="58">
        <f>$B116+1</f>
        <v>5</v>
      </c>
      <c r="C117" s="44">
        <f>'Cashflow'!C116*(1+C$5-C$6)^$B117</f>
        <v>0</v>
      </c>
      <c r="D117" s="45">
        <f>'Cashflow'!D116*(1+D$5-D$6)^$B117</f>
        <v>0</v>
      </c>
    </row>
    <row r="118" ht="20.05" customHeight="1">
      <c r="A118" s="9"/>
      <c r="B118" s="58">
        <f>$B117+1</f>
        <v>6</v>
      </c>
      <c r="C118" s="44">
        <f>'Cashflow'!C117*(1+C$5-C$6)^$B118</f>
        <v>0</v>
      </c>
      <c r="D118" s="45">
        <f>'Cashflow'!D117*(1+D$5-D$6)^$B118</f>
        <v>0</v>
      </c>
    </row>
    <row r="119" ht="20.05" customHeight="1">
      <c r="A119" s="9"/>
      <c r="B119" s="58">
        <f>$B118+1</f>
        <v>7</v>
      </c>
      <c r="C119" s="44">
        <f>'Cashflow'!C118*(1+C$5-C$6)^$B119</f>
        <v>0</v>
      </c>
      <c r="D119" s="45">
        <f>'Cashflow'!D118*(1+D$5-D$6)^$B119</f>
        <v>0</v>
      </c>
    </row>
    <row r="120" ht="20.05" customHeight="1">
      <c r="A120" s="9"/>
      <c r="B120" s="58">
        <f>$B119+1</f>
        <v>8</v>
      </c>
      <c r="C120" s="44">
        <f>'Cashflow'!C119*(1+C$5-C$6)^$B120</f>
        <v>0</v>
      </c>
      <c r="D120" s="45">
        <f>'Cashflow'!D119*(1+D$5-D$6)^$B120</f>
        <v>0</v>
      </c>
    </row>
    <row r="121" ht="20.05" customHeight="1">
      <c r="A121" s="9"/>
      <c r="B121" s="58">
        <f>$B120+1</f>
        <v>9</v>
      </c>
      <c r="C121" s="44">
        <f>'Cashflow'!C120*(1+C$5-C$6)^$B121</f>
        <v>0</v>
      </c>
      <c r="D121" s="45">
        <f>'Cashflow'!D120*(1+D$5-D$6)^$B121</f>
        <v>0</v>
      </c>
    </row>
    <row r="122" ht="20.05" customHeight="1">
      <c r="A122" s="9"/>
      <c r="B122" s="58">
        <f>$B121+1</f>
        <v>10</v>
      </c>
      <c r="C122" s="44">
        <f>'Cashflow'!C121*(1+C$5-C$6)^$B122</f>
        <v>0</v>
      </c>
      <c r="D122" s="45">
        <f>'Cashflow'!D121*(1+D$5-D$6)^$B122</f>
        <v>0</v>
      </c>
    </row>
    <row r="123" ht="20.05" customHeight="1">
      <c r="A123" s="9"/>
      <c r="B123" s="58">
        <f>$B122+1</f>
        <v>11</v>
      </c>
      <c r="C123" s="44">
        <f>'Cashflow'!C122*(1+C$5-C$6)^$B123</f>
        <v>0</v>
      </c>
      <c r="D123" s="45">
        <f>'Cashflow'!D122*(1+D$5-D$6)^$B123</f>
        <v>0</v>
      </c>
    </row>
    <row r="124" ht="20.05" customHeight="1">
      <c r="A124" s="9"/>
      <c r="B124" s="58">
        <f>$B123+1</f>
        <v>12</v>
      </c>
      <c r="C124" s="44">
        <f>'Cashflow'!C123*(1+C$5-C$6)^$B124</f>
        <v>0</v>
      </c>
      <c r="D124" s="45">
        <f>'Cashflow'!D123*(1+D$5-D$6)^$B124</f>
        <v>0</v>
      </c>
    </row>
    <row r="125" ht="20.05" customHeight="1">
      <c r="A125" s="9"/>
      <c r="B125" s="58">
        <f>$B124+1</f>
        <v>13</v>
      </c>
      <c r="C125" s="44">
        <f>'Cashflow'!C124*(1+C$5-C$6)^$B125</f>
        <v>0</v>
      </c>
      <c r="D125" s="45">
        <f>'Cashflow'!D124*(1+D$5-D$6)^$B125</f>
        <v>0</v>
      </c>
    </row>
    <row r="126" ht="20.05" customHeight="1">
      <c r="A126" s="9"/>
      <c r="B126" s="58">
        <f>$B125+1</f>
        <v>14</v>
      </c>
      <c r="C126" s="44">
        <f>'Cashflow'!C125*(1+C$5-C$6)^$B126</f>
        <v>0</v>
      </c>
      <c r="D126" s="45">
        <f>'Cashflow'!D125*(1+D$5-D$6)^$B126</f>
        <v>0</v>
      </c>
    </row>
    <row r="127" ht="20.05" customHeight="1">
      <c r="A127" s="9"/>
      <c r="B127" s="58">
        <f>$B126+1</f>
        <v>15</v>
      </c>
      <c r="C127" s="44">
        <f>'Cashflow'!C126*(1+C$5-C$6)^$B127</f>
        <v>0</v>
      </c>
      <c r="D127" s="45">
        <f>'Cashflow'!D126*(1+D$5-D$6)^$B127</f>
        <v>0</v>
      </c>
    </row>
    <row r="128" ht="20.05" customHeight="1">
      <c r="A128" s="9"/>
      <c r="B128" s="58">
        <f>$B127+1</f>
        <v>16</v>
      </c>
      <c r="C128" s="44">
        <f>'Cashflow'!C127*(1+C$5-C$6)^$B128</f>
        <v>0</v>
      </c>
      <c r="D128" s="45">
        <f>'Cashflow'!D127*(1+D$5-D$6)^$B128</f>
        <v>0</v>
      </c>
    </row>
    <row r="129" ht="20.05" customHeight="1">
      <c r="A129" s="9"/>
      <c r="B129" s="58">
        <f>$B128+1</f>
        <v>17</v>
      </c>
      <c r="C129" s="44">
        <f>'Cashflow'!C128*(1+C$5-C$6)^$B129</f>
        <v>0</v>
      </c>
      <c r="D129" s="45">
        <f>'Cashflow'!D128*(1+D$5-D$6)^$B129</f>
        <v>0</v>
      </c>
    </row>
    <row r="130" ht="20.05" customHeight="1">
      <c r="A130" s="9"/>
      <c r="B130" s="58">
        <f>$B129+1</f>
        <v>18</v>
      </c>
      <c r="C130" s="44">
        <f>'Cashflow'!C129*(1+C$5-C$6)^$B130</f>
        <v>0</v>
      </c>
      <c r="D130" s="45">
        <f>'Cashflow'!D129*(1+D$5-D$6)^$B130</f>
        <v>0</v>
      </c>
    </row>
    <row r="131" ht="20.05" customHeight="1">
      <c r="A131" s="9"/>
      <c r="B131" s="58">
        <f>$B130+1</f>
        <v>19</v>
      </c>
      <c r="C131" s="44">
        <f>'Cashflow'!C130*(1+C$5-C$6)^$B131</f>
        <v>0</v>
      </c>
      <c r="D131" s="45">
        <f>'Cashflow'!D130*(1+D$5-D$6)^$B131</f>
        <v>0</v>
      </c>
    </row>
    <row r="132" ht="20.05" customHeight="1">
      <c r="A132" s="9"/>
      <c r="B132" s="58">
        <f>$B131+1</f>
        <v>20</v>
      </c>
      <c r="C132" s="44">
        <f>'Cashflow'!C131*(1+C$5-C$6)^$B132</f>
        <v>0</v>
      </c>
      <c r="D132" s="45">
        <f>'Cashflow'!D131*(1+D$5-D$6)^$B132</f>
        <v>0</v>
      </c>
    </row>
  </sheetData>
  <mergeCells count="7">
    <mergeCell ref="A1:D1"/>
    <mergeCell ref="A113:A132"/>
    <mergeCell ref="A92:A111"/>
    <mergeCell ref="A71:A90"/>
    <mergeCell ref="A50:A69"/>
    <mergeCell ref="A29:A48"/>
    <mergeCell ref="A8:A27"/>
  </mergeCells>
  <pageMargins left="1" right="1" top="1" bottom="1" header="0.25" footer="0.25"/>
  <pageSetup firstPageNumber="1" fitToHeight="1" fitToWidth="1" scale="100" useFirstPageNumber="0" orientation="portrait" pageOrder="downThenOver"/>
  <headerFooter>
    <oddFooter>&amp;C&amp;"Helvetica Neue,Regular"&amp;12&amp;K000000&amp;P</oddFooter>
  </headerFooter>
  <drawing r:id="rId1"/>
</worksheet>
</file>

<file path=xl/worksheets/sheet6.xml><?xml version="1.0" encoding="utf-8"?>
<worksheet xmlns:r="http://schemas.openxmlformats.org/officeDocument/2006/relationships" xmlns="http://schemas.openxmlformats.org/spreadsheetml/2006/main">
  <sheetPr>
    <pageSetUpPr fitToPage="1"/>
  </sheetPr>
  <dimension ref="A2:D27"/>
  <sheetViews>
    <sheetView workbookViewId="0" showGridLines="0" defaultGridColor="1">
      <pane topLeftCell="C3" xSplit="2" ySplit="2" activePane="bottomRight" state="frozen"/>
    </sheetView>
  </sheetViews>
  <sheetFormatPr defaultColWidth="16.3333" defaultRowHeight="19.9" customHeight="1" outlineLevelRow="0" outlineLevelCol="0"/>
  <cols>
    <col min="1" max="1" width="31.75" style="84" customWidth="1"/>
    <col min="2" max="2" width="11.2812" style="84" customWidth="1"/>
    <col min="3" max="4" width="16.5391" style="84" customWidth="1"/>
    <col min="5" max="16384" width="16.3516" style="84" customWidth="1"/>
  </cols>
  <sheetData>
    <row r="1" ht="27.65" customHeight="1">
      <c r="A1" t="s" s="2">
        <v>71</v>
      </c>
      <c r="B1" s="2"/>
      <c r="C1" s="2"/>
      <c r="D1" s="2"/>
    </row>
    <row r="2" ht="20.25" customHeight="1">
      <c r="A2" s="3"/>
      <c r="B2" s="3"/>
      <c r="C2" t="s" s="54">
        <f>'Anlagen Spezifikation'!C$2</f>
        <v>1</v>
      </c>
      <c r="D2" t="s" s="54">
        <f>'Anlagen Spezifikation'!D$2</f>
        <v>2</v>
      </c>
    </row>
    <row r="3" ht="20.25" customHeight="1">
      <c r="A3" t="s" s="5">
        <f>'Anlagen Spezifikation'!$B14</f>
        <v>17</v>
      </c>
      <c r="B3" s="85"/>
      <c r="C3" s="75">
        <f>'Anlagen Spezifikation'!C14</f>
        <v>14300</v>
      </c>
      <c r="D3" s="76">
        <f>'Anlagen Spezifikation'!D14</f>
        <v>18900</v>
      </c>
    </row>
    <row r="4" ht="20.05" customHeight="1">
      <c r="A4" t="s" s="43">
        <f>"Netto Cashflow (NPV) "&amp;'Anlagen Spezifikation'!C23&amp;" Jahren (in €)"</f>
        <v>72</v>
      </c>
      <c r="B4" s="66"/>
      <c r="C4" s="44">
        <f>C5+C3</f>
        <v>29134.7344633501</v>
      </c>
      <c r="D4" s="45">
        <f>D5+D3</f>
        <v>33286.2397376876</v>
      </c>
    </row>
    <row r="5" ht="20.05" customHeight="1">
      <c r="A5" t="s" s="43">
        <v>47</v>
      </c>
      <c r="B5" s="66"/>
      <c r="C5" s="44">
        <f>SUM(C8:C27)</f>
        <v>14834.7344633501</v>
      </c>
      <c r="D5" s="45">
        <f>SUM(D8:D27)</f>
        <v>14386.2397376876</v>
      </c>
    </row>
    <row r="6" ht="20.05" customHeight="1">
      <c r="A6" s="9"/>
      <c r="B6" s="86"/>
      <c r="C6" s="67"/>
      <c r="D6" s="68"/>
    </row>
    <row r="7" ht="20.05" customHeight="1">
      <c r="A7" s="9"/>
      <c r="B7" t="s" s="87">
        <v>43</v>
      </c>
      <c r="C7" s="67"/>
      <c r="D7" s="68"/>
    </row>
    <row r="8" ht="20.05" customHeight="1">
      <c r="A8" t="s" s="43">
        <v>73</v>
      </c>
      <c r="B8" s="58">
        <v>1</v>
      </c>
      <c r="C8" s="44">
        <f>'Barwerte'!C8-C3</f>
        <v>-12887.565431</v>
      </c>
      <c r="D8" s="45">
        <f>'Barwerte'!D8-D3</f>
        <v>-17240.33501536</v>
      </c>
    </row>
    <row r="9" ht="20.05" customHeight="1">
      <c r="A9" s="9"/>
      <c r="B9" s="58">
        <v>2</v>
      </c>
      <c r="C9" s="44">
        <f>'Barwerte'!C9</f>
        <v>1413.735093909410</v>
      </c>
      <c r="D9" s="45">
        <f>'Barwerte'!D9</f>
        <v>1656.263843053580</v>
      </c>
    </row>
    <row r="10" ht="20.05" customHeight="1">
      <c r="A10" s="9"/>
      <c r="B10" s="58">
        <v>3</v>
      </c>
      <c r="C10" s="44">
        <f>'Barwerte'!C10</f>
        <v>1415.590024738</v>
      </c>
      <c r="D10" s="45">
        <f>'Barwerte'!D10</f>
        <v>1653.512216699740</v>
      </c>
    </row>
    <row r="11" ht="20.05" customHeight="1">
      <c r="A11" s="9"/>
      <c r="B11" s="58">
        <v>4</v>
      </c>
      <c r="C11" s="44">
        <f>'Barwerte'!C11</f>
        <v>1418.000088909630</v>
      </c>
      <c r="D11" s="45">
        <f>'Barwerte'!D11</f>
        <v>1651.409026509310</v>
      </c>
    </row>
    <row r="12" ht="20.05" customHeight="1">
      <c r="A12" s="9"/>
      <c r="B12" s="58">
        <v>5</v>
      </c>
      <c r="C12" s="44">
        <f>'Barwerte'!C12</f>
        <v>1420.9662315475</v>
      </c>
      <c r="D12" s="45">
        <f>'Barwerte'!D12</f>
        <v>1649.953447701820</v>
      </c>
    </row>
    <row r="13" ht="20.05" customHeight="1">
      <c r="A13" s="9"/>
      <c r="B13" s="58">
        <v>6</v>
      </c>
      <c r="C13" s="44">
        <f>'Barwerte'!C13</f>
        <v>1424.489615844790</v>
      </c>
      <c r="D13" s="45">
        <f>'Barwerte'!D13</f>
        <v>1649.144909462050</v>
      </c>
    </row>
    <row r="14" ht="20.05" customHeight="1">
      <c r="A14" s="9"/>
      <c r="B14" s="58">
        <v>7</v>
      </c>
      <c r="C14" s="44">
        <f>'Barwerte'!C14</f>
        <v>1428.571623520850</v>
      </c>
      <c r="D14" s="45">
        <f>'Barwerte'!D14</f>
        <v>1648.9830947162</v>
      </c>
    </row>
    <row r="15" ht="20.05" customHeight="1">
      <c r="A15" s="9"/>
      <c r="B15" s="58">
        <v>8</v>
      </c>
      <c r="C15" s="44">
        <f>'Barwerte'!C15</f>
        <v>1433.213855363</v>
      </c>
      <c r="D15" s="45">
        <f>'Barwerte'!D15</f>
        <v>1649.467940007480</v>
      </c>
    </row>
    <row r="16" ht="20.05" customHeight="1">
      <c r="A16" s="9"/>
      <c r="B16" s="58">
        <v>9</v>
      </c>
      <c r="C16" s="44">
        <f>'Barwerte'!C16</f>
        <v>1438.4181318543</v>
      </c>
      <c r="D16" s="45">
        <f>'Barwerte'!D16</f>
        <v>1650.599635471330</v>
      </c>
    </row>
    <row r="17" ht="20.05" customHeight="1">
      <c r="A17" s="9"/>
      <c r="B17" s="58">
        <v>10</v>
      </c>
      <c r="C17" s="44">
        <f>'Barwerte'!C17</f>
        <v>1444.186493887520</v>
      </c>
      <c r="D17" s="45">
        <f>'Barwerte'!D17</f>
        <v>1652.378624909850</v>
      </c>
    </row>
    <row r="18" ht="20.05" customHeight="1">
      <c r="A18" s="9"/>
      <c r="B18" s="58">
        <v>11</v>
      </c>
      <c r="C18" s="44">
        <f>'Barwerte'!C18</f>
        <v>1450.521203565380</v>
      </c>
      <c r="D18" s="45">
        <f>'Barwerte'!D18</f>
        <v>1654.805605966010</v>
      </c>
    </row>
    <row r="19" ht="20.05" customHeight="1">
      <c r="A19" s="9"/>
      <c r="B19" s="58">
        <v>12</v>
      </c>
      <c r="C19" s="44">
        <f>'Barwerte'!C19</f>
        <v>1457.424745087790</v>
      </c>
      <c r="D19" s="45">
        <f>'Barwerte'!D19</f>
        <v>1657.881530397030</v>
      </c>
    </row>
    <row r="20" ht="20.05" customHeight="1">
      <c r="A20" s="9"/>
      <c r="B20" s="58">
        <v>13</v>
      </c>
      <c r="C20" s="44">
        <f>'Barwerte'!C20</f>
        <v>1464.899825725920</v>
      </c>
      <c r="D20" s="45">
        <f>'Barwerte'!D20</f>
        <v>1661.607604447830</v>
      </c>
    </row>
    <row r="21" ht="20.05" customHeight="1">
      <c r="A21" s="9"/>
      <c r="B21" s="58">
        <v>14</v>
      </c>
      <c r="C21" s="44">
        <f>'Barwerte'!C21</f>
        <v>1472.949376883940</v>
      </c>
      <c r="D21" s="45">
        <f>'Barwerte'!D21</f>
        <v>1665.985289323910</v>
      </c>
    </row>
    <row r="22" ht="20.05" customHeight="1">
      <c r="A22" s="9"/>
      <c r="B22" s="58">
        <v>15</v>
      </c>
      <c r="C22" s="44">
        <f>'Barwerte'!C22</f>
        <v>1481.576555248590</v>
      </c>
      <c r="D22" s="45">
        <f>'Barwerte'!D22</f>
        <v>1671.016301764420</v>
      </c>
    </row>
    <row r="23" ht="20.05" customHeight="1">
      <c r="A23" s="9"/>
      <c r="B23" s="58">
        <v>16</v>
      </c>
      <c r="C23" s="44">
        <f>'Barwerte'!C23</f>
        <v>1490.784744027050</v>
      </c>
      <c r="D23" s="45">
        <f>'Barwerte'!D23</f>
        <v>1676.702614715430</v>
      </c>
    </row>
    <row r="24" ht="20.05" customHeight="1">
      <c r="A24" s="9"/>
      <c r="B24" s="58">
        <v>17</v>
      </c>
      <c r="C24" s="44">
        <f>'Barwerte'!C24</f>
        <v>1500.577554273760</v>
      </c>
      <c r="D24" s="45">
        <f>'Barwerte'!D24</f>
        <v>1683.046458103570</v>
      </c>
    </row>
    <row r="25" ht="20.05" customHeight="1">
      <c r="A25" s="9"/>
      <c r="B25" s="58">
        <v>18</v>
      </c>
      <c r="C25" s="44">
        <f>'Barwerte'!C25</f>
        <v>1510.958826306460</v>
      </c>
      <c r="D25" s="45">
        <f>'Barwerte'!D25</f>
        <v>1690.050319710590</v>
      </c>
    </row>
    <row r="26" ht="20.05" customHeight="1">
      <c r="A26" s="9"/>
      <c r="B26" s="58">
        <v>19</v>
      </c>
      <c r="C26" s="44">
        <f>'Barwerte'!C26</f>
        <v>1521.932631212230</v>
      </c>
      <c r="D26" s="45">
        <f>'Barwerte'!D26</f>
        <v>1697.716946148870</v>
      </c>
    </row>
    <row r="27" ht="20.05" customHeight="1">
      <c r="A27" s="9"/>
      <c r="B27" s="58">
        <v>20</v>
      </c>
      <c r="C27" s="44">
        <f>'Barwerte'!C27</f>
        <v>1533.503272443950</v>
      </c>
      <c r="D27" s="45">
        <f>'Barwerte'!D27</f>
        <v>1706.049343938570</v>
      </c>
    </row>
  </sheetData>
  <mergeCells count="5">
    <mergeCell ref="A1:D1"/>
    <mergeCell ref="A4:B4"/>
    <mergeCell ref="A3:B3"/>
    <mergeCell ref="A5:B5"/>
    <mergeCell ref="A8:A27"/>
  </mergeCell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7.xml><?xml version="1.0" encoding="utf-8"?>
<worksheet xmlns:r="http://schemas.openxmlformats.org/officeDocument/2006/relationships" xmlns="http://schemas.openxmlformats.org/spreadsheetml/2006/main">
  <sheetPr>
    <pageSetUpPr fitToPage="1"/>
  </sheetPr>
  <dimension ref="A2:D47"/>
  <sheetViews>
    <sheetView workbookViewId="0" showGridLines="0" defaultGridColor="1">
      <pane topLeftCell="C3" xSplit="2" ySplit="2" activePane="bottomRight" state="frozen"/>
    </sheetView>
  </sheetViews>
  <sheetFormatPr defaultColWidth="16.3333" defaultRowHeight="19.9" customHeight="1" outlineLevelRow="0" outlineLevelCol="0"/>
  <cols>
    <col min="1" max="1" width="31.75" style="88" customWidth="1"/>
    <col min="2" max="2" width="7.85156" style="88" customWidth="1"/>
    <col min="3" max="4" width="16.5391" style="88" customWidth="1"/>
    <col min="5" max="16384" width="16.3516" style="88" customWidth="1"/>
  </cols>
  <sheetData>
    <row r="1" ht="27.65" customHeight="1">
      <c r="A1" t="s" s="2">
        <v>74</v>
      </c>
      <c r="B1" s="2"/>
      <c r="C1" s="2"/>
      <c r="D1" s="2"/>
    </row>
    <row r="2" ht="20.25" customHeight="1">
      <c r="A2" s="3"/>
      <c r="B2" t="s" s="53">
        <v>43</v>
      </c>
      <c r="C2" t="s" s="54">
        <f>'Anlagen Spezifikation'!C$2</f>
        <v>1</v>
      </c>
      <c r="D2" t="s" s="54">
        <f>'Anlagen Spezifikation'!D$2</f>
        <v>2</v>
      </c>
    </row>
    <row r="3" ht="20.25" customHeight="1">
      <c r="A3" t="s" s="5">
        <f>'Anlagen Spezifikation'!$B14</f>
        <v>17</v>
      </c>
      <c r="B3" s="85"/>
      <c r="C3" s="75">
        <f>'Anlagen Spezifikation'!C14</f>
        <v>14300</v>
      </c>
      <c r="D3" s="76">
        <f>'Anlagen Spezifikation'!D14</f>
        <v>18900</v>
      </c>
    </row>
    <row r="4" ht="20.05" customHeight="1">
      <c r="A4" t="s" s="43">
        <f>"Barwert (NPV) "&amp;'Anlagen Spezifikation'!C23&amp;" Jahren (in €)"</f>
        <v>46</v>
      </c>
      <c r="B4" s="66"/>
      <c r="C4" s="44">
        <f>SUM('Barwerte'!C8:C27)-'Anlagen Spezifikation'!C14</f>
        <v>14834.7344633501</v>
      </c>
      <c r="D4" s="45">
        <f>SUM('Barwerte'!D8:D27)-'Anlagen Spezifikation'!D14</f>
        <v>14386.2397376876</v>
      </c>
    </row>
    <row r="5" ht="20.05" customHeight="1">
      <c r="A5" t="s" s="43">
        <v>48</v>
      </c>
      <c r="B5" s="66"/>
      <c r="C5" s="44">
        <f>'Anlagen Spezifikation'!C23-SUM(C28:C47)+1</f>
        <v>11</v>
      </c>
      <c r="D5" s="89">
        <f>IF(SUM(D28:D47)&gt;0,'Anlagen Spezifikation'!D23-SUM(D28:D47)+1,"&gt;20")</f>
        <v>12</v>
      </c>
    </row>
    <row r="6" ht="20.05" customHeight="1">
      <c r="A6" s="9"/>
      <c r="B6" s="66"/>
      <c r="C6" s="44"/>
      <c r="D6" s="45"/>
    </row>
    <row r="7" ht="20.05" customHeight="1">
      <c r="A7" t="s" s="43">
        <v>75</v>
      </c>
      <c r="B7" s="58">
        <f>1</f>
        <v>1</v>
      </c>
      <c r="C7" s="44">
        <f>'Barwerte'!C8-C3</f>
        <v>-12887.565431</v>
      </c>
      <c r="D7" s="45">
        <f>'Barwerte'!D8-D3</f>
        <v>-17240.33501536</v>
      </c>
    </row>
    <row r="8" ht="20.05" customHeight="1">
      <c r="A8" s="9"/>
      <c r="B8" s="58">
        <f>$B7+1</f>
        <v>2</v>
      </c>
      <c r="C8" s="44">
        <f>C7+'Barwerte'!C9</f>
        <v>-11473.8303370906</v>
      </c>
      <c r="D8" s="45">
        <f>D7+'Barwerte'!D9</f>
        <v>-15584.0711723064</v>
      </c>
    </row>
    <row r="9" ht="20.05" customHeight="1">
      <c r="A9" s="9"/>
      <c r="B9" s="58">
        <f>$B8+1</f>
        <v>3</v>
      </c>
      <c r="C9" s="44">
        <f>C8+'Barwerte'!C10</f>
        <v>-10058.2403123526</v>
      </c>
      <c r="D9" s="45">
        <f>D8+'Barwerte'!D10</f>
        <v>-13930.5589556067</v>
      </c>
    </row>
    <row r="10" ht="20.05" customHeight="1">
      <c r="A10" s="9"/>
      <c r="B10" s="58">
        <f>$B9+1</f>
        <v>4</v>
      </c>
      <c r="C10" s="44">
        <f>C9+'Barwerte'!C11</f>
        <v>-8640.240223442970</v>
      </c>
      <c r="D10" s="45">
        <f>D9+'Barwerte'!D11</f>
        <v>-12279.1499290974</v>
      </c>
    </row>
    <row r="11" ht="20.05" customHeight="1">
      <c r="A11" s="9"/>
      <c r="B11" s="58">
        <f>$B10+1</f>
        <v>5</v>
      </c>
      <c r="C11" s="44">
        <f>C10+'Barwerte'!C12</f>
        <v>-7219.273991895470</v>
      </c>
      <c r="D11" s="45">
        <f>D10+'Barwerte'!D12</f>
        <v>-10629.1964813956</v>
      </c>
    </row>
    <row r="12" ht="20.05" customHeight="1">
      <c r="A12" s="9"/>
      <c r="B12" s="58">
        <f>$B11+1</f>
        <v>6</v>
      </c>
      <c r="C12" s="44">
        <f>C11+'Barwerte'!C13</f>
        <v>-5794.784376050680</v>
      </c>
      <c r="D12" s="45">
        <f>D11+'Barwerte'!D13</f>
        <v>-8980.051571933551</v>
      </c>
    </row>
    <row r="13" ht="20.05" customHeight="1">
      <c r="A13" s="9"/>
      <c r="B13" s="58">
        <f>$B12+1</f>
        <v>7</v>
      </c>
      <c r="C13" s="44">
        <f>C12+'Barwerte'!C14</f>
        <v>-4366.212752529830</v>
      </c>
      <c r="D13" s="45">
        <f>D12+'Barwerte'!D14</f>
        <v>-7331.068477217350</v>
      </c>
    </row>
    <row r="14" ht="20.05" customHeight="1">
      <c r="A14" s="9"/>
      <c r="B14" s="58">
        <f>$B13+1</f>
        <v>8</v>
      </c>
      <c r="C14" s="44">
        <f>C13+'Barwerte'!C15</f>
        <v>-2932.998897166830</v>
      </c>
      <c r="D14" s="45">
        <f>D13+'Barwerte'!D15</f>
        <v>-5681.600537209870</v>
      </c>
    </row>
    <row r="15" ht="20.05" customHeight="1">
      <c r="A15" s="9"/>
      <c r="B15" s="58">
        <f>$B14+1</f>
        <v>9</v>
      </c>
      <c r="C15" s="44">
        <f>C14+'Barwerte'!C16</f>
        <v>-1494.580765312530</v>
      </c>
      <c r="D15" s="45">
        <f>D14+'Barwerte'!D16</f>
        <v>-4031.000901738540</v>
      </c>
    </row>
    <row r="16" ht="20.05" customHeight="1">
      <c r="A16" s="9"/>
      <c r="B16" s="58">
        <f>$B15+1</f>
        <v>10</v>
      </c>
      <c r="C16" s="44">
        <f>C15+'Barwerte'!C17</f>
        <v>-50.394271425010</v>
      </c>
      <c r="D16" s="45">
        <f>D15+'Barwerte'!D17</f>
        <v>-2378.622276828690</v>
      </c>
    </row>
    <row r="17" ht="20.05" customHeight="1">
      <c r="A17" s="9"/>
      <c r="B17" s="58">
        <f>$B16+1</f>
        <v>11</v>
      </c>
      <c r="C17" s="44">
        <f>C16+'Barwerte'!C18</f>
        <v>1400.126932140370</v>
      </c>
      <c r="D17" s="45">
        <f>D16+'Barwerte'!D18</f>
        <v>-723.816670862680</v>
      </c>
    </row>
    <row r="18" ht="20.05" customHeight="1">
      <c r="A18" s="9"/>
      <c r="B18" s="58">
        <f>$B17+1</f>
        <v>12</v>
      </c>
      <c r="C18" s="44">
        <f>C17+'Barwerte'!C19</f>
        <v>2857.551677228160</v>
      </c>
      <c r="D18" s="45">
        <f>D17+'Barwerte'!D19</f>
        <v>934.064859534350</v>
      </c>
    </row>
    <row r="19" ht="20.05" customHeight="1">
      <c r="A19" s="9"/>
      <c r="B19" s="58">
        <f>$B18+1</f>
        <v>13</v>
      </c>
      <c r="C19" s="44">
        <f>C18+'Barwerte'!C20</f>
        <v>4322.451502954080</v>
      </c>
      <c r="D19" s="45">
        <f>D18+'Barwerte'!D20</f>
        <v>2595.672463982180</v>
      </c>
    </row>
    <row r="20" ht="20.05" customHeight="1">
      <c r="A20" s="9"/>
      <c r="B20" s="58">
        <f>$B19+1</f>
        <v>14</v>
      </c>
      <c r="C20" s="44">
        <f>C19+'Barwerte'!C21</f>
        <v>5795.400879838020</v>
      </c>
      <c r="D20" s="45">
        <f>D19+'Barwerte'!D21</f>
        <v>4261.657753306090</v>
      </c>
    </row>
    <row r="21" ht="20.05" customHeight="1">
      <c r="A21" s="9"/>
      <c r="B21" s="58">
        <f>$B20+1</f>
        <v>15</v>
      </c>
      <c r="C21" s="44">
        <f>C20+'Barwerte'!C22</f>
        <v>7276.977435086610</v>
      </c>
      <c r="D21" s="45">
        <f>D20+'Barwerte'!D22</f>
        <v>5932.674055070510</v>
      </c>
    </row>
    <row r="22" ht="20.05" customHeight="1">
      <c r="A22" s="9"/>
      <c r="B22" s="58">
        <f>$B21+1</f>
        <v>16</v>
      </c>
      <c r="C22" s="44">
        <f>C21+'Barwerte'!C23</f>
        <v>8767.762179113661</v>
      </c>
      <c r="D22" s="45">
        <f>D21+'Barwerte'!D23</f>
        <v>7609.376669785940</v>
      </c>
    </row>
    <row r="23" ht="20.05" customHeight="1">
      <c r="A23" s="9"/>
      <c r="B23" s="58">
        <f>$B22+1</f>
        <v>17</v>
      </c>
      <c r="C23" s="44">
        <f>C22+'Barwerte'!C24</f>
        <v>10268.3397333874</v>
      </c>
      <c r="D23" s="45">
        <f>D22+'Barwerte'!D24</f>
        <v>9292.423127889509</v>
      </c>
    </row>
    <row r="24" ht="20.05" customHeight="1">
      <c r="A24" s="9"/>
      <c r="B24" s="58">
        <f>$B23+1</f>
        <v>18</v>
      </c>
      <c r="C24" s="44">
        <f>C23+'Barwerte'!C25</f>
        <v>11779.2985596939</v>
      </c>
      <c r="D24" s="45">
        <f>D23+'Barwerte'!D25</f>
        <v>10982.4734476001</v>
      </c>
    </row>
    <row r="25" ht="20.05" customHeight="1">
      <c r="A25" s="9"/>
      <c r="B25" s="58">
        <f>$B24+1</f>
        <v>19</v>
      </c>
      <c r="C25" s="44">
        <f>C24+'Barwerte'!C26</f>
        <v>13301.2311909061</v>
      </c>
      <c r="D25" s="45">
        <f>D24+'Barwerte'!D26</f>
        <v>12680.190393749</v>
      </c>
    </row>
    <row r="26" ht="20.05" customHeight="1">
      <c r="A26" s="9"/>
      <c r="B26" s="58">
        <f>$B25+1</f>
        <v>20</v>
      </c>
      <c r="C26" s="44">
        <f>C25+'Barwerte'!C27</f>
        <v>14834.7344633501</v>
      </c>
      <c r="D26" s="45">
        <f>D25+'Barwerte'!D27</f>
        <v>14386.2397376876</v>
      </c>
    </row>
    <row r="27" ht="20.05" customHeight="1">
      <c r="A27" s="9"/>
      <c r="B27" s="66"/>
      <c r="C27" s="67"/>
      <c r="D27" s="68"/>
    </row>
    <row r="28" ht="20.05" customHeight="1">
      <c r="A28" t="s" s="43">
        <v>76</v>
      </c>
      <c r="B28" s="58">
        <v>1</v>
      </c>
      <c r="C28" s="62">
        <f>IF(C7&gt;0,1,0)</f>
        <v>0</v>
      </c>
      <c r="D28" s="63">
        <f>IF(D7&gt;0,1,0)</f>
        <v>0</v>
      </c>
    </row>
    <row r="29" ht="20.05" customHeight="1">
      <c r="A29" s="9"/>
      <c r="B29" s="58">
        <f>$B28+1</f>
        <v>2</v>
      </c>
      <c r="C29" s="62">
        <f>IF(C8&gt;0,1,0)</f>
        <v>0</v>
      </c>
      <c r="D29" s="63">
        <f>IF(D8&gt;0,1,0)</f>
        <v>0</v>
      </c>
    </row>
    <row r="30" ht="20.05" customHeight="1">
      <c r="A30" s="9"/>
      <c r="B30" s="58">
        <f>$B29+1</f>
        <v>3</v>
      </c>
      <c r="C30" s="62">
        <f>IF(C9&gt;0,1,0)</f>
        <v>0</v>
      </c>
      <c r="D30" s="63">
        <f>IF(D9&gt;0,1,0)</f>
        <v>0</v>
      </c>
    </row>
    <row r="31" ht="20.05" customHeight="1">
      <c r="A31" s="9"/>
      <c r="B31" s="58">
        <f>$B30+1</f>
        <v>4</v>
      </c>
      <c r="C31" s="62">
        <f>IF(C10&gt;0,1,0)</f>
        <v>0</v>
      </c>
      <c r="D31" s="63">
        <f>IF(D10&gt;0,1,0)</f>
        <v>0</v>
      </c>
    </row>
    <row r="32" ht="20.05" customHeight="1">
      <c r="A32" s="9"/>
      <c r="B32" s="58">
        <f>$B31+1</f>
        <v>5</v>
      </c>
      <c r="C32" s="62">
        <f>IF(C11&gt;0,1,0)</f>
        <v>0</v>
      </c>
      <c r="D32" s="63">
        <f>IF(D11&gt;0,1,0)</f>
        <v>0</v>
      </c>
    </row>
    <row r="33" ht="20.05" customHeight="1">
      <c r="A33" s="9"/>
      <c r="B33" s="58">
        <f>$B32+1</f>
        <v>6</v>
      </c>
      <c r="C33" s="62">
        <f>IF(C12&gt;0,1,0)</f>
        <v>0</v>
      </c>
      <c r="D33" s="63">
        <f>IF(D12&gt;0,1,0)</f>
        <v>0</v>
      </c>
    </row>
    <row r="34" ht="20.05" customHeight="1">
      <c r="A34" s="9"/>
      <c r="B34" s="58">
        <f>$B33+1</f>
        <v>7</v>
      </c>
      <c r="C34" s="62">
        <f>IF(C13&gt;0,1,0)</f>
        <v>0</v>
      </c>
      <c r="D34" s="63">
        <f>IF(D13&gt;0,1,0)</f>
        <v>0</v>
      </c>
    </row>
    <row r="35" ht="20.05" customHeight="1">
      <c r="A35" s="9"/>
      <c r="B35" s="58">
        <f>$B34+1</f>
        <v>8</v>
      </c>
      <c r="C35" s="62">
        <f>IF(C14&gt;0,1,0)</f>
        <v>0</v>
      </c>
      <c r="D35" s="63">
        <f>IF(D14&gt;0,1,0)</f>
        <v>0</v>
      </c>
    </row>
    <row r="36" ht="20.05" customHeight="1">
      <c r="A36" s="9"/>
      <c r="B36" s="58">
        <f>$B35+1</f>
        <v>9</v>
      </c>
      <c r="C36" s="62">
        <f>IF(C15&gt;0,1,0)</f>
        <v>0</v>
      </c>
      <c r="D36" s="63">
        <f>IF(D15&gt;0,1,0)</f>
        <v>0</v>
      </c>
    </row>
    <row r="37" ht="20.05" customHeight="1">
      <c r="A37" s="9"/>
      <c r="B37" s="58">
        <f>$B36+1</f>
        <v>10</v>
      </c>
      <c r="C37" s="62">
        <f>IF(C16&gt;0,1,0)</f>
        <v>0</v>
      </c>
      <c r="D37" s="63">
        <f>IF(D16&gt;0,1,0)</f>
        <v>0</v>
      </c>
    </row>
    <row r="38" ht="20.05" customHeight="1">
      <c r="A38" s="9"/>
      <c r="B38" s="58">
        <f>$B37+1</f>
        <v>11</v>
      </c>
      <c r="C38" s="62">
        <f>IF(C17&gt;0,1,0)</f>
        <v>1</v>
      </c>
      <c r="D38" s="63">
        <f>IF(D17&gt;0,1,0)</f>
        <v>0</v>
      </c>
    </row>
    <row r="39" ht="20.05" customHeight="1">
      <c r="A39" s="9"/>
      <c r="B39" s="58">
        <f>$B38+1</f>
        <v>12</v>
      </c>
      <c r="C39" s="62">
        <f>IF(C18&gt;0,1,0)</f>
        <v>1</v>
      </c>
      <c r="D39" s="63">
        <f>IF(D18&gt;0,1,0)</f>
        <v>1</v>
      </c>
    </row>
    <row r="40" ht="20.05" customHeight="1">
      <c r="A40" s="9"/>
      <c r="B40" s="58">
        <f>$B39+1</f>
        <v>13</v>
      </c>
      <c r="C40" s="62">
        <f>IF(C19&gt;0,1,0)</f>
        <v>1</v>
      </c>
      <c r="D40" s="63">
        <f>IF(D19&gt;0,1,0)</f>
        <v>1</v>
      </c>
    </row>
    <row r="41" ht="20.05" customHeight="1">
      <c r="A41" s="9"/>
      <c r="B41" s="58">
        <f>$B40+1</f>
        <v>14</v>
      </c>
      <c r="C41" s="62">
        <f>IF(C20&gt;0,1,0)</f>
        <v>1</v>
      </c>
      <c r="D41" s="63">
        <f>IF(D20&gt;0,1,0)</f>
        <v>1</v>
      </c>
    </row>
    <row r="42" ht="20.05" customHeight="1">
      <c r="A42" s="9"/>
      <c r="B42" s="58">
        <f>$B41+1</f>
        <v>15</v>
      </c>
      <c r="C42" s="62">
        <f>IF(C21&gt;0,1,0)</f>
        <v>1</v>
      </c>
      <c r="D42" s="63">
        <f>IF(D21&gt;0,1,0)</f>
        <v>1</v>
      </c>
    </row>
    <row r="43" ht="20.05" customHeight="1">
      <c r="A43" s="9"/>
      <c r="B43" s="58">
        <f>$B42+1</f>
        <v>16</v>
      </c>
      <c r="C43" s="62">
        <f>IF(C22&gt;0,1,0)</f>
        <v>1</v>
      </c>
      <c r="D43" s="63">
        <f>IF(D22&gt;0,1,0)</f>
        <v>1</v>
      </c>
    </row>
    <row r="44" ht="20.05" customHeight="1">
      <c r="A44" s="9"/>
      <c r="B44" s="58">
        <f>$B43+1</f>
        <v>17</v>
      </c>
      <c r="C44" s="62">
        <f>IF(C23&gt;0,1,0)</f>
        <v>1</v>
      </c>
      <c r="D44" s="63">
        <f>IF(D23&gt;0,1,0)</f>
        <v>1</v>
      </c>
    </row>
    <row r="45" ht="20.05" customHeight="1">
      <c r="A45" s="9"/>
      <c r="B45" s="58">
        <f>$B44+1</f>
        <v>18</v>
      </c>
      <c r="C45" s="62">
        <f>IF(C24&gt;0,1,0)</f>
        <v>1</v>
      </c>
      <c r="D45" s="63">
        <f>IF(D24&gt;0,1,0)</f>
        <v>1</v>
      </c>
    </row>
    <row r="46" ht="20.05" customHeight="1">
      <c r="A46" s="9"/>
      <c r="B46" s="58">
        <f>$B45+1</f>
        <v>19</v>
      </c>
      <c r="C46" s="62">
        <f>IF(C25&gt;0,1,0)</f>
        <v>1</v>
      </c>
      <c r="D46" s="63">
        <f>IF(D25&gt;0,1,0)</f>
        <v>1</v>
      </c>
    </row>
    <row r="47" ht="20.05" customHeight="1">
      <c r="A47" s="9"/>
      <c r="B47" s="58">
        <f>$B46+1</f>
        <v>20</v>
      </c>
      <c r="C47" s="62">
        <f>IF(C26&gt;0,1,0)</f>
        <v>1</v>
      </c>
      <c r="D47" s="63">
        <f>IF(D26&gt;0,1,0)</f>
        <v>1</v>
      </c>
    </row>
  </sheetData>
  <mergeCells count="5">
    <mergeCell ref="A1:D1"/>
    <mergeCell ref="A28:A47"/>
    <mergeCell ref="A4:B4"/>
    <mergeCell ref="A5:B5"/>
    <mergeCell ref="A3:B3"/>
  </mergeCell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8.xml><?xml version="1.0" encoding="utf-8"?>
<worksheet xmlns:r="http://schemas.openxmlformats.org/officeDocument/2006/relationships" xmlns="http://schemas.openxmlformats.org/spreadsheetml/2006/main">
  <sheetPr>
    <pageSetUpPr fitToPage="1"/>
  </sheetPr>
  <dimension ref="A2:K39"/>
  <sheetViews>
    <sheetView workbookViewId="0" showGridLines="0" defaultGridColor="1">
      <pane topLeftCell="C3" xSplit="2" ySplit="2" activePane="bottomRight" state="frozen"/>
    </sheetView>
  </sheetViews>
  <sheetFormatPr defaultColWidth="16.3333" defaultRowHeight="19.9" customHeight="1" outlineLevelRow="0" outlineLevelCol="0"/>
  <cols>
    <col min="1" max="1" width="23.8672" style="90" customWidth="1"/>
    <col min="2" max="2" width="11.2812" style="90" customWidth="1"/>
    <col min="3" max="6" width="16.5391" style="90" customWidth="1"/>
    <col min="7" max="7" width="22.1484" style="93" customWidth="1"/>
    <col min="8" max="11" width="16.3516" style="93" customWidth="1"/>
    <col min="12" max="16384" width="16.3516" style="93" customWidth="1"/>
  </cols>
  <sheetData>
    <row r="1" ht="27.65" customHeight="1">
      <c r="A1" t="s" s="2">
        <v>77</v>
      </c>
      <c r="B1" s="2"/>
      <c r="C1" s="2"/>
      <c r="D1" s="2"/>
      <c r="E1" s="2"/>
      <c r="F1" s="2"/>
    </row>
    <row r="2" ht="32.25" customHeight="1">
      <c r="A2" s="3"/>
      <c r="B2" s="3"/>
      <c r="C2" t="s" s="54">
        <f>'Anlagen Spezifikation'!C$2</f>
        <v>78</v>
      </c>
      <c r="D2" t="s" s="54">
        <f>'Anlagen Spezifikation'!D$2</f>
        <v>79</v>
      </c>
      <c r="E2" t="s" s="54">
        <v>80</v>
      </c>
      <c r="F2" t="s" s="54">
        <v>81</v>
      </c>
    </row>
    <row r="3" ht="20.25" customHeight="1">
      <c r="A3" t="s" s="5">
        <f>'Anlagen Spezifikation'!$B14</f>
        <v>17</v>
      </c>
      <c r="B3" s="85"/>
      <c r="C3" s="75">
        <f>'Anlagen Spezifikation'!C14</f>
        <v>14300</v>
      </c>
      <c r="D3" s="76">
        <f>'Anlagen Spezifikation'!D14</f>
        <v>18900</v>
      </c>
      <c r="E3" s="76"/>
      <c r="F3" s="76"/>
    </row>
    <row r="4" ht="20.05" customHeight="1">
      <c r="A4" t="s" s="43">
        <f>"Kapitalwert nach "&amp;'Anlagen Spezifikation'!C23&amp;" Jahren (in €)"</f>
        <v>82</v>
      </c>
      <c r="B4" s="66"/>
      <c r="C4" s="44">
        <f>SUM(C10:C29)</f>
        <v>14713.6657599061</v>
      </c>
      <c r="D4" s="45">
        <f>SUM(D10:D29)</f>
        <v>14339.855378389</v>
      </c>
      <c r="E4" s="45"/>
      <c r="F4" s="45"/>
    </row>
    <row r="5" ht="20.05" customHeight="1">
      <c r="A5" t="s" s="43">
        <v>83</v>
      </c>
      <c r="B5" s="66"/>
      <c r="C5" s="91">
        <f>IRR(C10:C29)</f>
        <v>0.0898443096126029</v>
      </c>
      <c r="D5" s="92">
        <f>IRR(D10:D29)</f>
        <v>0.0692342537816905</v>
      </c>
      <c r="E5" s="72"/>
      <c r="F5" s="72"/>
    </row>
    <row r="6" ht="20.05" customHeight="1">
      <c r="A6" t="s" s="43">
        <v>64</v>
      </c>
      <c r="B6" s="66"/>
      <c r="C6" s="71">
        <f>'Anlagen Spezifikation'!C21</f>
        <v>0.02</v>
      </c>
      <c r="D6" s="72">
        <f>'Anlagen Spezifikation'!D21</f>
        <v>0.02</v>
      </c>
      <c r="E6" s="72"/>
      <c r="F6" s="72"/>
    </row>
    <row r="7" ht="20.05" customHeight="1">
      <c r="A7" t="s" s="43">
        <v>84</v>
      </c>
      <c r="B7" s="66"/>
      <c r="C7" s="44">
        <f>SUM(E11:E30)</f>
        <v>35294.5832232049</v>
      </c>
      <c r="D7" s="45">
        <f>SUM(F11:F30)</f>
        <v>40400.8814430995</v>
      </c>
      <c r="E7" s="72"/>
      <c r="F7" s="72"/>
    </row>
    <row r="8" ht="20.05" customHeight="1">
      <c r="A8" t="s" s="43">
        <v>85</v>
      </c>
      <c r="B8" s="66"/>
      <c r="C8" s="91">
        <f>(C7/C3)^(1/20)-1</f>
        <v>0.0462093596632147</v>
      </c>
      <c r="D8" s="92">
        <f>(D7/D3)^(1/20)-1</f>
        <v>0.0387151160789112</v>
      </c>
      <c r="E8" s="72"/>
      <c r="F8" s="72"/>
    </row>
    <row r="9" ht="20.05" customHeight="1">
      <c r="A9" s="9"/>
      <c r="B9" t="s" s="87">
        <v>43</v>
      </c>
      <c r="C9" s="67"/>
      <c r="D9" s="68"/>
      <c r="E9" s="68"/>
      <c r="F9" s="68"/>
    </row>
    <row r="10" ht="20.05" customHeight="1">
      <c r="A10" t="s" s="43">
        <v>86</v>
      </c>
      <c r="B10" s="58">
        <v>0</v>
      </c>
      <c r="C10" s="44">
        <f>-C3+'Barwerte'!C8</f>
        <v>-12887.565431</v>
      </c>
      <c r="D10" s="45">
        <f>-D3+'Barwerte'!D8</f>
        <v>-17240.33501536</v>
      </c>
      <c r="E10" s="45">
        <f>C10</f>
        <v>-12887.565431</v>
      </c>
      <c r="F10" s="45">
        <f>D10</f>
        <v>-17240.33501536</v>
      </c>
    </row>
    <row r="11" ht="20.05" customHeight="1">
      <c r="A11" t="s" s="43">
        <v>73</v>
      </c>
      <c r="B11" s="58">
        <v>1</v>
      </c>
      <c r="C11" s="44">
        <f>'Barwerte'!C8</f>
        <v>1412.434569</v>
      </c>
      <c r="D11" s="45">
        <f>'Barwerte'!D8</f>
        <v>1659.66498464</v>
      </c>
      <c r="E11" s="45">
        <f>C11*(1+$C$6)^(20-B11)</f>
        <v>2057.650460583690</v>
      </c>
      <c r="F11" s="45">
        <f>D11*(1+$D$6)^(20-B11)</f>
        <v>2417.818492276730</v>
      </c>
    </row>
    <row r="12" ht="20.05" customHeight="1">
      <c r="A12" s="9"/>
      <c r="B12" s="58">
        <f>$B11+1</f>
        <v>2</v>
      </c>
      <c r="C12" s="44">
        <f>'Barwerte'!C9</f>
        <v>1413.735093909410</v>
      </c>
      <c r="D12" s="45">
        <f>'Barwerte'!D9</f>
        <v>1656.263843053580</v>
      </c>
      <c r="E12" s="45">
        <f>C12*(1+$C$6)^(20-B12)</f>
        <v>2019.161842943010</v>
      </c>
      <c r="F12" s="45">
        <f>D12*(1+$D$6)^(20-B12)</f>
        <v>2365.552618837530</v>
      </c>
    </row>
    <row r="13" ht="20.05" customHeight="1">
      <c r="A13" s="9"/>
      <c r="B13" s="58">
        <f>$B12+1</f>
        <v>3</v>
      </c>
      <c r="C13" s="44">
        <f>'Barwerte'!C10</f>
        <v>1415.590024738</v>
      </c>
      <c r="D13" s="45">
        <f>'Barwerte'!D10</f>
        <v>1653.512216699740</v>
      </c>
      <c r="E13" s="45">
        <f>C13*(1+$C$6)^(20-B13)</f>
        <v>1982.167785233780</v>
      </c>
      <c r="F13" s="45">
        <f>D13*(1+$D$6)^(20-B13)</f>
        <v>2315.316292963660</v>
      </c>
    </row>
    <row r="14" ht="20.05" customHeight="1">
      <c r="A14" s="9"/>
      <c r="B14" s="58">
        <f>$B13+1</f>
        <v>4</v>
      </c>
      <c r="C14" s="44">
        <f>'Barwerte'!C11</f>
        <v>1418.000088909630</v>
      </c>
      <c r="D14" s="45">
        <f>'Barwerte'!D11</f>
        <v>1651.409026509310</v>
      </c>
      <c r="E14" s="45">
        <f>C14*(1+$C$6)^(20-B14)</f>
        <v>1946.610251872360</v>
      </c>
      <c r="F14" s="45">
        <f>D14*(1+$D$6)^(20-B14)</f>
        <v>2267.030704849590</v>
      </c>
    </row>
    <row r="15" ht="20.05" customHeight="1">
      <c r="A15" s="9"/>
      <c r="B15" s="58">
        <f>$B14+1</f>
        <v>5</v>
      </c>
      <c r="C15" s="44">
        <f>'Barwerte'!C12</f>
        <v>1420.9662315475</v>
      </c>
      <c r="D15" s="45">
        <f>'Barwerte'!D12</f>
        <v>1649.953447701820</v>
      </c>
      <c r="E15" s="45">
        <f>C15*(1+$C$6)^(20-B15)</f>
        <v>1912.433460867530</v>
      </c>
      <c r="F15" s="45">
        <f>D15*(1+$D$6)^(20-B15)</f>
        <v>2220.620104970620</v>
      </c>
    </row>
    <row r="16" ht="8.35" customHeight="1" hidden="1">
      <c r="A16" s="9"/>
      <c r="B16" s="58">
        <f>$B15+1</f>
        <v>6</v>
      </c>
      <c r="C16" s="44">
        <f>'Barwerte'!C13</f>
        <v>1424.489615844790</v>
      </c>
      <c r="D16" s="45">
        <f>'Barwerte'!D13</f>
        <v>1649.144909462050</v>
      </c>
      <c r="E16" s="45">
        <f>C16*(1+$C$6)^(20-B16)</f>
        <v>1879.583796310790</v>
      </c>
      <c r="F16" s="45">
        <f>D16*(1+$D$6)^(20-B16)</f>
        <v>2176.011685248420</v>
      </c>
    </row>
    <row r="17" ht="8.35" customHeight="1" hidden="1">
      <c r="A17" s="9"/>
      <c r="B17" s="58">
        <f>$B16+1</f>
        <v>7</v>
      </c>
      <c r="C17" s="44">
        <f>'Barwerte'!C14</f>
        <v>1428.571623520850</v>
      </c>
      <c r="D17" s="45">
        <f>'Barwerte'!D14</f>
        <v>1648.9830947162</v>
      </c>
      <c r="E17" s="45">
        <f>C17*(1+$C$6)^(20-B17)</f>
        <v>1848.009724264720</v>
      </c>
      <c r="F17" s="45">
        <f>D17*(1+$D$6)^(20-B17)</f>
        <v>2133.1354648311</v>
      </c>
    </row>
    <row r="18" ht="8.35" customHeight="1" hidden="1">
      <c r="A18" s="9"/>
      <c r="B18" s="58">
        <f>$B17+1</f>
        <v>8</v>
      </c>
      <c r="C18" s="44">
        <f>'Barwerte'!C15</f>
        <v>1433.213855363</v>
      </c>
      <c r="D18" s="45">
        <f>'Barwerte'!D15</f>
        <v>1649.467940007480</v>
      </c>
      <c r="E18" s="45">
        <f>C18*(1+$C$6)^(20-B18)</f>
        <v>1817.661711917480</v>
      </c>
      <c r="F18" s="45">
        <f>D18*(1+$D$6)^(20-B18)</f>
        <v>2091.924180308470</v>
      </c>
    </row>
    <row r="19" ht="8.35" customHeight="1" hidden="1">
      <c r="A19" s="9"/>
      <c r="B19" s="58">
        <f>$B18+1</f>
        <v>9</v>
      </c>
      <c r="C19" s="44">
        <f>'Barwerte'!C16</f>
        <v>1438.4181318543</v>
      </c>
      <c r="D19" s="45">
        <f>'Barwerte'!D16</f>
        <v>1650.599635471330</v>
      </c>
      <c r="E19" s="45">
        <f>C19*(1+$C$6)^(20-B19)</f>
        <v>1788.492149876670</v>
      </c>
      <c r="F19" s="45">
        <f>D19*(1+$D$6)^(20-B19)</f>
        <v>2052.313180190630</v>
      </c>
    </row>
    <row r="20" ht="8.35" customHeight="1" hidden="1">
      <c r="A20" s="9"/>
      <c r="B20" s="58">
        <f>$B19+1</f>
        <v>10</v>
      </c>
      <c r="C20" s="44">
        <f>'Barwerte'!C17</f>
        <v>1444.186493887520</v>
      </c>
      <c r="D20" s="45">
        <f>'Barwerte'!D17</f>
        <v>1652.378624909850</v>
      </c>
      <c r="E20" s="45">
        <f>C20*(1+$C$6)^(20-B20)</f>
        <v>1760.455277480680</v>
      </c>
      <c r="F20" s="45">
        <f>D20*(1+$D$6)^(20-B20)</f>
        <v>2014.240323483720</v>
      </c>
    </row>
    <row r="21" ht="8.35" customHeight="1" hidden="1">
      <c r="A21" s="9"/>
      <c r="B21" s="58">
        <f>$B20+1</f>
        <v>11</v>
      </c>
      <c r="C21" s="44">
        <f>'Barwerte'!C18</f>
        <v>1450.521203565380</v>
      </c>
      <c r="D21" s="45">
        <f>'Barwerte'!D18</f>
        <v>1654.805605966010</v>
      </c>
      <c r="E21" s="45">
        <f>C21*(1+$C$6)^(20-B21)</f>
        <v>1733.507111010080</v>
      </c>
      <c r="F21" s="45">
        <f>D21*(1+$D$6)^(20-B21)</f>
        <v>1977.645882204520</v>
      </c>
    </row>
    <row r="22" ht="8.35" customHeight="1" hidden="1">
      <c r="A22" s="9"/>
      <c r="B22" s="58">
        <f>$B21+1</f>
        <v>12</v>
      </c>
      <c r="C22" s="44">
        <f>'Barwerte'!C19</f>
        <v>1457.424745087790</v>
      </c>
      <c r="D22" s="45">
        <f>'Barwerte'!D19</f>
        <v>1657.881530397030</v>
      </c>
      <c r="E22" s="45">
        <f>C22*(1+$C$6)^(20-B22)</f>
        <v>1707.605374686940</v>
      </c>
      <c r="F22" s="45">
        <f>D22*(1+$D$6)^(20-B22)</f>
        <v>1942.472447680070</v>
      </c>
    </row>
    <row r="23" ht="8.35" customHeight="1" hidden="1">
      <c r="A23" s="9"/>
      <c r="B23" s="58">
        <f>$B22+1</f>
        <v>13</v>
      </c>
      <c r="C23" s="44">
        <f>'Barwerte'!C20</f>
        <v>1464.899825725920</v>
      </c>
      <c r="D23" s="45">
        <f>'Barwerte'!D20</f>
        <v>1661.607604447830</v>
      </c>
      <c r="E23" s="45">
        <f>C23*(1+$C$6)^(20-B23)</f>
        <v>1682.709434353290</v>
      </c>
      <c r="F23" s="45">
        <f>D23*(1+$D$6)^(20-B23)</f>
        <v>1908.664840486280</v>
      </c>
    </row>
    <row r="24" ht="8.35" customHeight="1" hidden="1">
      <c r="A24" s="9"/>
      <c r="B24" s="58">
        <f>$B23+1</f>
        <v>14</v>
      </c>
      <c r="C24" s="44">
        <f>'Barwerte'!C21</f>
        <v>1472.949376883940</v>
      </c>
      <c r="D24" s="45">
        <f>'Barwerte'!D21</f>
        <v>1665.985289323910</v>
      </c>
      <c r="E24" s="45">
        <f>C24*(1+$C$6)^(20-B24)</f>
        <v>1658.780233725020</v>
      </c>
      <c r="F24" s="45">
        <f>D24*(1+$D$6)^(20-B24)</f>
        <v>1876.170023883250</v>
      </c>
    </row>
    <row r="25" ht="8.35" customHeight="1" hidden="1">
      <c r="A25" s="9"/>
      <c r="B25" s="58">
        <f>$B24+1</f>
        <v>15</v>
      </c>
      <c r="C25" s="44">
        <f>'Barwerte'!C22</f>
        <v>1481.576555248590</v>
      </c>
      <c r="D25" s="45">
        <f>'Barwerte'!D22</f>
        <v>1671.016301764420</v>
      </c>
      <c r="E25" s="45">
        <f>C25*(1+$C$6)^(20-B25)</f>
        <v>1635.780233121150</v>
      </c>
      <c r="F25" s="45">
        <f>D25*(1+$D$6)^(20-B25)</f>
        <v>1844.937020612350</v>
      </c>
    </row>
    <row r="26" ht="8.35" customHeight="1" hidden="1">
      <c r="A26" s="9"/>
      <c r="B26" s="58">
        <f>$B25+1</f>
        <v>16</v>
      </c>
      <c r="C26" s="44">
        <f>'Barwerte'!C23</f>
        <v>1490.784744027050</v>
      </c>
      <c r="D26" s="45">
        <f>'Barwerte'!D23</f>
        <v>1676.702614715430</v>
      </c>
      <c r="E26" s="45">
        <f>C26*(1+$C$6)^(20-B26)</f>
        <v>1613.673350572250</v>
      </c>
      <c r="F26" s="45">
        <f>D26*(1+$D$6)^(20-B26)</f>
        <v>1814.916832924070</v>
      </c>
    </row>
    <row r="27" ht="8.35" customHeight="1" hidden="1">
      <c r="A27" s="9"/>
      <c r="B27" s="58">
        <f>$B26+1</f>
        <v>17</v>
      </c>
      <c r="C27" s="44">
        <f>'Barwerte'!C24</f>
        <v>1500.577554273760</v>
      </c>
      <c r="D27" s="45">
        <f>'Barwerte'!D24</f>
        <v>1683.046458103570</v>
      </c>
      <c r="E27" s="45">
        <f>C27*(1+$C$6)^(20-B27)</f>
        <v>1592.424905215750</v>
      </c>
      <c r="F27" s="45">
        <f>D27*(1+$D$6)^(20-B27)</f>
        <v>1786.062365711170</v>
      </c>
    </row>
    <row r="28" ht="8.35" customHeight="1" hidden="1">
      <c r="A28" s="9"/>
      <c r="B28" s="58">
        <f>$B27+1</f>
        <v>18</v>
      </c>
      <c r="C28" s="44">
        <f>'Barwerte'!C25</f>
        <v>1510.958826306460</v>
      </c>
      <c r="D28" s="45">
        <f>'Barwerte'!D25</f>
        <v>1690.050319710590</v>
      </c>
      <c r="E28" s="45">
        <f>C28*(1+$C$6)^(20-B28)</f>
        <v>1572.001562889240</v>
      </c>
      <c r="F28" s="45">
        <f>D28*(1+$D$6)^(20-B28)</f>
        <v>1758.3283526269</v>
      </c>
    </row>
    <row r="29" ht="8.35" customHeight="1" hidden="1">
      <c r="A29" s="9"/>
      <c r="B29" s="58">
        <f>$B28+1</f>
        <v>19</v>
      </c>
      <c r="C29" s="44">
        <f>'Barwerte'!C26</f>
        <v>1521.932631212230</v>
      </c>
      <c r="D29" s="45">
        <f>'Barwerte'!D26</f>
        <v>1697.716946148870</v>
      </c>
      <c r="E29" s="45">
        <f>C29*(1+$C$6)^(20-B29)</f>
        <v>1552.371283836470</v>
      </c>
      <c r="F29" s="45">
        <f>D29*(1+$D$6)^(20-B29)</f>
        <v>1731.671285071850</v>
      </c>
    </row>
    <row r="30" ht="20.05" customHeight="1">
      <c r="A30" s="9"/>
      <c r="B30" s="58">
        <f>$B29+1</f>
        <v>20</v>
      </c>
      <c r="C30" s="44">
        <f>'Barwerte'!C27</f>
        <v>1533.503272443950</v>
      </c>
      <c r="D30" s="45">
        <f>'Barwerte'!D27</f>
        <v>1706.049343938570</v>
      </c>
      <c r="E30" s="45">
        <f>C30*(1+$C$6)^(20-B30)</f>
        <v>1533.503272443950</v>
      </c>
      <c r="F30" s="45">
        <f>D30*(1+$D$6)^(20-B30)</f>
        <v>1706.049343938570</v>
      </c>
    </row>
    <row r="32" ht="27.65" customHeight="1">
      <c r="G32" t="s" s="2">
        <v>87</v>
      </c>
      <c r="H32" s="2"/>
      <c r="I32" s="2"/>
      <c r="J32" s="2"/>
      <c r="K32" s="2"/>
    </row>
    <row r="33" ht="20.25" customHeight="1">
      <c r="G33" t="s" s="53">
        <v>88</v>
      </c>
      <c r="H33" t="s" s="53">
        <v>89</v>
      </c>
      <c r="I33" t="s" s="53">
        <v>90</v>
      </c>
      <c r="J33" t="s" s="53">
        <v>91</v>
      </c>
      <c r="K33" t="s" s="53">
        <v>92</v>
      </c>
    </row>
    <row r="34" ht="20.25" customHeight="1">
      <c r="G34" s="94">
        <v>0.01</v>
      </c>
      <c r="H34" s="95">
        <v>0.0464976566522033</v>
      </c>
      <c r="I34" s="96">
        <v>0.100725650082014</v>
      </c>
      <c r="J34" s="97">
        <v>0.0389067567258485</v>
      </c>
      <c r="K34" s="97">
        <v>0.0798910575343236</v>
      </c>
    </row>
    <row r="35" ht="20.05" customHeight="1">
      <c r="G35" s="98">
        <v>0.02</v>
      </c>
      <c r="H35" s="99">
        <v>0.0462093596632147</v>
      </c>
      <c r="I35" s="100">
        <v>0.0898443096126029</v>
      </c>
      <c r="J35" s="101">
        <v>0.0387151160789112</v>
      </c>
      <c r="K35" s="101">
        <v>0.0692342537816905</v>
      </c>
    </row>
    <row r="36" ht="20.05" customHeight="1">
      <c r="G36" s="98">
        <v>0.03</v>
      </c>
      <c r="H36" s="99">
        <v>0.046525149547771</v>
      </c>
      <c r="I36" s="100">
        <v>0.0790482806221537</v>
      </c>
      <c r="J36" s="101">
        <v>0.0391288665209641</v>
      </c>
      <c r="K36" s="101">
        <v>0.0586746432030491</v>
      </c>
    </row>
    <row r="37" ht="20.05" customHeight="1">
      <c r="G37" s="98">
        <v>0.04</v>
      </c>
      <c r="H37" s="99">
        <v>0.047426990492736</v>
      </c>
      <c r="I37" s="100">
        <v>0.0683352259370342</v>
      </c>
      <c r="J37" s="101">
        <v>0.0401275906408365</v>
      </c>
      <c r="K37" s="101">
        <v>0.0482095497574878</v>
      </c>
    </row>
    <row r="38" ht="20.05" customHeight="1">
      <c r="G38" s="98">
        <v>0.05</v>
      </c>
      <c r="H38" s="99">
        <v>0.0488893811275761</v>
      </c>
      <c r="I38" s="100">
        <v>0.0577031751689828</v>
      </c>
      <c r="J38" s="102">
        <v>0.0416837542831645</v>
      </c>
      <c r="K38" s="102">
        <v>0.0378366992901291</v>
      </c>
    </row>
    <row r="39" ht="20.05" customHeight="1">
      <c r="G39" s="98">
        <v>0.06</v>
      </c>
      <c r="H39" s="103">
        <v>0.0508807756548766</v>
      </c>
      <c r="I39" s="104">
        <v>0.0471505094242378</v>
      </c>
      <c r="J39" s="101">
        <v>0.043764203531802</v>
      </c>
      <c r="K39" s="101">
        <v>0.0275542019672593</v>
      </c>
    </row>
  </sheetData>
  <mergeCells count="8">
    <mergeCell ref="A1:F1"/>
    <mergeCell ref="A4:B4"/>
    <mergeCell ref="A5:B5"/>
    <mergeCell ref="A3:B3"/>
    <mergeCell ref="A6:B6"/>
    <mergeCell ref="A7:B7"/>
    <mergeCell ref="A8:B8"/>
    <mergeCell ref="G32:K32"/>
  </mergeCells>
  <pageMargins left="1" right="1" top="1" bottom="1" header="0.25" footer="0.25"/>
  <pageSetup firstPageNumber="1" fitToHeight="1" fitToWidth="1" scale="100" useFirstPageNumber="0" orientation="portrait" pageOrder="downThenOver"/>
  <headerFooter>
    <oddFooter>&amp;C&amp;"Helvetica Neue,Regular"&amp;12&amp;K000000&amp;P</oddFooter>
  </headerFooter>
  <drawing r:id="rId1"/>
</worksheet>
</file>

<file path=xl/worksheets/sheet9.xml><?xml version="1.0" encoding="utf-8"?>
<worksheet xmlns:r="http://schemas.openxmlformats.org/officeDocument/2006/relationships" xmlns="http://schemas.openxmlformats.org/spreadsheetml/2006/main">
  <sheetPr>
    <pageSetUpPr fitToPage="1"/>
  </sheetPr>
  <dimension ref="A2:C34"/>
  <sheetViews>
    <sheetView workbookViewId="0" showGridLines="0" defaultGridColor="1">
      <pane topLeftCell="B3" xSplit="1" ySplit="2" activePane="bottomRight" state="frozen"/>
    </sheetView>
  </sheetViews>
  <sheetFormatPr defaultColWidth="16.3333" defaultRowHeight="19.9" customHeight="1" outlineLevelRow="0" outlineLevelCol="0"/>
  <cols>
    <col min="1" max="1" width="34.0312" style="105" customWidth="1"/>
    <col min="2" max="3" width="16.3516" style="105" customWidth="1"/>
    <col min="4" max="16384" width="16.3516" style="105" customWidth="1"/>
  </cols>
  <sheetData>
    <row r="1" ht="27.65" customHeight="1">
      <c r="A1" t="s" s="2">
        <v>87</v>
      </c>
      <c r="B1" s="2"/>
      <c r="C1" s="2"/>
    </row>
    <row r="2" ht="20.25" customHeight="1">
      <c r="A2" s="3"/>
      <c r="B2" t="s" s="54">
        <f>'Anlagen Spezifikation'!C$2</f>
        <v>1</v>
      </c>
      <c r="C2" t="s" s="54">
        <f>'Anlagen Spezifikation'!D$2</f>
        <v>2</v>
      </c>
    </row>
    <row r="3" ht="20.25" customHeight="1">
      <c r="A3" t="s" s="6">
        <f>'Kennwerte'!$A5</f>
        <v>17</v>
      </c>
      <c r="B3" s="75">
        <f>'Kennwerte'!B5</f>
        <v>14300</v>
      </c>
      <c r="C3" s="76">
        <f>'Kennwerte'!C5</f>
        <v>18900</v>
      </c>
    </row>
    <row r="4" ht="20.05" customHeight="1">
      <c r="A4" t="s" s="10">
        <f>'Anlagen Spezifikation'!$B23</f>
        <v>26</v>
      </c>
      <c r="B4" s="62">
        <f>'Anlagen Spezifikation'!C23</f>
        <v>20</v>
      </c>
      <c r="C4" s="63">
        <f>'Anlagen Spezifikation'!D23</f>
        <v>20</v>
      </c>
    </row>
    <row r="5" ht="20.05" customHeight="1">
      <c r="A5" t="s" s="10">
        <v>47</v>
      </c>
      <c r="B5" s="62">
        <f>'Kapitalwertmethode'!C5</f>
        <v>14834.7344633501</v>
      </c>
      <c r="C5" s="63">
        <f>'Kapitalwertmethode'!D5</f>
        <v>14386.2397376876</v>
      </c>
    </row>
    <row r="6" ht="8.35" customHeight="1" hidden="1">
      <c r="A6" t="s" s="10">
        <v>93</v>
      </c>
      <c r="B6" s="62">
        <f>B5/1.001</f>
        <v>14819.9145488013</v>
      </c>
      <c r="C6" s="63">
        <f>C5/1.001</f>
        <v>14371.8678698178</v>
      </c>
    </row>
    <row r="7" ht="8.35" customHeight="1" hidden="1">
      <c r="A7" t="s" s="10">
        <v>94</v>
      </c>
      <c r="B7" s="62">
        <f>B5*1.001</f>
        <v>14849.5691978135</v>
      </c>
      <c r="C7" s="63">
        <f>C5*1.001</f>
        <v>14400.6259774253</v>
      </c>
    </row>
    <row r="8" ht="20.05" customHeight="1">
      <c r="A8" s="66"/>
      <c r="B8" s="67"/>
      <c r="C8" s="68"/>
    </row>
    <row r="9" ht="20.05" customHeight="1">
      <c r="A9" t="s" s="10">
        <v>95</v>
      </c>
      <c r="B9" s="106">
        <f>('Anlagen Spezifikation'!C21-'Anlagen Spezifikation'!C20)</f>
        <v>-0.02</v>
      </c>
      <c r="C9" s="107">
        <f>('Anlagen Spezifikation'!D21-'Anlagen Spezifikation'!D20)</f>
        <v>-0.02</v>
      </c>
    </row>
    <row r="10" ht="20.05" customHeight="1">
      <c r="A10" t="s" s="10">
        <v>96</v>
      </c>
      <c r="B10" s="77">
        <f>1+'Anlagen Spezifikation'!C21-'Anlagen Spezifikation'!C20</f>
        <v>0.98</v>
      </c>
      <c r="C10" s="83">
        <f>1+'Anlagen Spezifikation'!D21-'Anlagen Spezifikation'!D20</f>
        <v>0.98</v>
      </c>
    </row>
    <row r="11" ht="20.05" customHeight="1">
      <c r="A11" s="66"/>
      <c r="B11" s="67"/>
      <c r="C11" s="68"/>
    </row>
    <row r="12" ht="20.05" customHeight="1">
      <c r="A12" t="s" s="10">
        <v>49</v>
      </c>
      <c r="B12" s="62">
        <f>PMT(B9,'Anlagen Spezifikation'!C23,-B5)</f>
        <v>595.910018594397</v>
      </c>
      <c r="C12" s="63">
        <f>PMT(C9,'Anlagen Spezifikation'!D23,-C5)</f>
        <v>577.894023702860</v>
      </c>
    </row>
    <row r="13" ht="20.05" customHeight="1">
      <c r="A13" s="66"/>
      <c r="B13" s="67"/>
      <c r="C13" s="68"/>
    </row>
    <row r="14" ht="20.05" customHeight="1">
      <c r="A14" t="s" s="10">
        <v>97</v>
      </c>
      <c r="B14" s="62">
        <f>SUM(B15:B34)</f>
        <v>14834.7344633501</v>
      </c>
      <c r="C14" s="63">
        <f>SUM(C15:C34)</f>
        <v>14386.2397376876</v>
      </c>
    </row>
    <row r="15" ht="20.05" customHeight="1">
      <c r="A15" s="58">
        <v>1</v>
      </c>
      <c r="B15" s="62">
        <f>B12/B10</f>
        <v>608.071447545303</v>
      </c>
      <c r="C15" s="63">
        <f>C12/C10</f>
        <v>589.687779288633</v>
      </c>
    </row>
    <row r="16" ht="20.05" customHeight="1">
      <c r="A16" s="58">
        <v>2</v>
      </c>
      <c r="B16" s="62">
        <f>B15/B$10</f>
        <v>620.481068923779</v>
      </c>
      <c r="C16" s="63">
        <f>C15/C$10</f>
        <v>601.722223763911</v>
      </c>
    </row>
    <row r="17" ht="20.05" customHeight="1">
      <c r="A17" s="58">
        <v>3</v>
      </c>
      <c r="B17" s="62">
        <f>B16/B$10</f>
        <v>633.143947881407</v>
      </c>
      <c r="C17" s="63">
        <f>C16/C$10</f>
        <v>614.002269146848</v>
      </c>
    </row>
    <row r="18" ht="20.05" customHeight="1">
      <c r="A18" s="58">
        <v>4</v>
      </c>
      <c r="B18" s="62">
        <f>B17/B$10</f>
        <v>646.0652529402111</v>
      </c>
      <c r="C18" s="63">
        <f>C17/C$10</f>
        <v>626.532927700865</v>
      </c>
    </row>
    <row r="19" ht="20.05" customHeight="1">
      <c r="A19" s="58">
        <v>5</v>
      </c>
      <c r="B19" s="62">
        <f>B18/B$10</f>
        <v>659.250258102256</v>
      </c>
      <c r="C19" s="63">
        <f>C18/C$10</f>
        <v>639.319313980474</v>
      </c>
    </row>
    <row r="20" ht="20.05" customHeight="1">
      <c r="A20" s="58">
        <v>6</v>
      </c>
      <c r="B20" s="62">
        <f>B19/B$10</f>
        <v>672.704345002302</v>
      </c>
      <c r="C20" s="63">
        <f>C19/C$10</f>
        <v>652.366646918851</v>
      </c>
    </row>
    <row r="21" ht="20.05" customHeight="1">
      <c r="A21" s="58">
        <v>7</v>
      </c>
      <c r="B21" s="62">
        <f>B20/B$10</f>
        <v>686.433005104390</v>
      </c>
      <c r="C21" s="63">
        <f>C20/C$10</f>
        <v>665.680251958011</v>
      </c>
    </row>
    <row r="22" ht="20.05" customHeight="1">
      <c r="A22" s="58">
        <v>8</v>
      </c>
      <c r="B22" s="62">
        <f>B21/B$10</f>
        <v>700.441841943255</v>
      </c>
      <c r="C22" s="63">
        <f>C21/C$10</f>
        <v>679.2655632224599</v>
      </c>
    </row>
    <row r="23" ht="20.05" customHeight="1">
      <c r="A23" s="58">
        <v>9</v>
      </c>
      <c r="B23" s="62">
        <f>B22/B$10</f>
        <v>714.736573411485</v>
      </c>
      <c r="C23" s="63">
        <f>C22/C$10</f>
        <v>693.128125737204</v>
      </c>
    </row>
    <row r="24" ht="20.05" customHeight="1">
      <c r="A24" s="58">
        <v>10</v>
      </c>
      <c r="B24" s="62">
        <f>B23/B$10</f>
        <v>729.323034093352</v>
      </c>
      <c r="C24" s="63">
        <f>C23/C$10</f>
        <v>707.273597691024</v>
      </c>
    </row>
    <row r="25" ht="20.05" customHeight="1">
      <c r="A25" s="58">
        <v>11</v>
      </c>
      <c r="B25" s="62">
        <f>B24/B$10</f>
        <v>744.207177646278</v>
      </c>
      <c r="C25" s="63">
        <f>C24/C$10</f>
        <v>721.707752745943</v>
      </c>
    </row>
    <row r="26" ht="20.05" customHeight="1">
      <c r="A26" s="58">
        <v>12</v>
      </c>
      <c r="B26" s="62">
        <f>B25/B$10</f>
        <v>759.395079230896</v>
      </c>
      <c r="C26" s="63">
        <f>C25/C$10</f>
        <v>736.436482393819</v>
      </c>
    </row>
    <row r="27" ht="20.05" customHeight="1">
      <c r="A27" s="58">
        <v>13</v>
      </c>
      <c r="B27" s="62">
        <f>B26/B$10</f>
        <v>774.892937990710</v>
      </c>
      <c r="C27" s="63">
        <f>C26/C$10</f>
        <v>751.465798361040</v>
      </c>
    </row>
    <row r="28" ht="20.05" customHeight="1">
      <c r="A28" s="58">
        <v>14</v>
      </c>
      <c r="B28" s="62">
        <f>B27/B$10</f>
        <v>790.707079582357</v>
      </c>
      <c r="C28" s="63">
        <f>C27/C$10</f>
        <v>766.801835062286</v>
      </c>
    </row>
    <row r="29" ht="20.05" customHeight="1">
      <c r="A29" s="58">
        <v>15</v>
      </c>
      <c r="B29" s="62">
        <f>B28/B$10</f>
        <v>806.843958757507</v>
      </c>
      <c r="C29" s="63">
        <f>C28/C$10</f>
        <v>782.450852104373</v>
      </c>
    </row>
    <row r="30" ht="20.05" customHeight="1">
      <c r="A30" s="58">
        <v>16</v>
      </c>
      <c r="B30" s="62">
        <f>B29/B$10</f>
        <v>823.310161997456</v>
      </c>
      <c r="C30" s="63">
        <f>C29/C$10</f>
        <v>798.4192368411969</v>
      </c>
    </row>
    <row r="31" ht="20.05" customHeight="1">
      <c r="A31" s="58">
        <v>17</v>
      </c>
      <c r="B31" s="62">
        <f>B30/B$10</f>
        <v>840.112410201486</v>
      </c>
      <c r="C31" s="63">
        <f>C30/C$10</f>
        <v>814.713506980813</v>
      </c>
    </row>
    <row r="32" ht="20.05" customHeight="1">
      <c r="A32" s="58">
        <v>18</v>
      </c>
      <c r="B32" s="62">
        <f>B31/B$10</f>
        <v>857.257561430088</v>
      </c>
      <c r="C32" s="63">
        <f>C31/C$10</f>
        <v>831.340313245728</v>
      </c>
    </row>
    <row r="33" ht="20.05" customHeight="1">
      <c r="A33" s="58">
        <v>19</v>
      </c>
      <c r="B33" s="62">
        <f>B32/B$10</f>
        <v>874.752613704171</v>
      </c>
      <c r="C33" s="63">
        <f>C32/C$10</f>
        <v>848.306442087478</v>
      </c>
    </row>
    <row r="34" ht="20.05" customHeight="1">
      <c r="A34" s="58">
        <v>20</v>
      </c>
      <c r="B34" s="44">
        <f>B33/B$10</f>
        <v>892.604707861399</v>
      </c>
      <c r="C34" s="45">
        <f>C33/C$10</f>
        <v>865.618818456610</v>
      </c>
    </row>
  </sheetData>
  <mergeCells count="1">
    <mergeCell ref="A1:C1"/>
  </mergeCells>
  <conditionalFormatting sqref="B6:C6">
    <cfRule type="cellIs" dxfId="13" priority="1" operator="equal" stopIfTrue="1">
      <formula>B14</formula>
    </cfRule>
  </conditionalFormatting>
  <conditionalFormatting sqref="B7:C7">
    <cfRule type="cellIs" dxfId="14" priority="1" operator="equal" stopIfTrue="1">
      <formula>B14</formula>
    </cfRule>
  </conditionalFormatting>
  <conditionalFormatting sqref="B8:C8">
    <cfRule type="cellIs" dxfId="15" priority="1" operator="equal" stopIfTrue="1">
      <formula>B14</formula>
    </cfRule>
  </conditionalFormatting>
  <conditionalFormatting sqref="B14:C14">
    <cfRule type="cellIs" dxfId="16" priority="1" operator="between" stopIfTrue="1">
      <formula>B6</formula>
      <formula>B7</formula>
    </cfRule>
  </conditionalFormatting>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